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todo\DESAF 2014\cambio indicadores en la web\"/>
    </mc:Choice>
  </mc:AlternateContent>
  <bookViews>
    <workbookView xWindow="0" yWindow="0" windowWidth="21600" windowHeight="9735" tabRatio="754" activeTab="6"/>
  </bookViews>
  <sheets>
    <sheet name="I Trimestre" sheetId="4" r:id="rId1"/>
    <sheet name="II Trimestre" sheetId="6" r:id="rId2"/>
    <sheet name="III Trimestre" sheetId="9" r:id="rId3"/>
    <sheet name="IV Trimestre" sheetId="7" r:id="rId4"/>
    <sheet name="I Semestre" sheetId="11" r:id="rId5"/>
    <sheet name="III Trimestre Acumulado" sheetId="10" r:id="rId6"/>
    <sheet name="Anual" sheetId="8" r:id="rId7"/>
  </sheets>
  <calcPr calcId="152511"/>
</workbook>
</file>

<file path=xl/calcChain.xml><?xml version="1.0" encoding="utf-8"?>
<calcChain xmlns="http://schemas.openxmlformats.org/spreadsheetml/2006/main">
  <c r="C12" i="6" l="1"/>
  <c r="E12" i="7"/>
  <c r="C12" i="7"/>
  <c r="E12" i="9"/>
  <c r="C12" i="9"/>
  <c r="E12" i="6"/>
  <c r="E19" i="7" l="1"/>
  <c r="E19" i="9"/>
  <c r="E19" i="6"/>
  <c r="E66" i="7" l="1"/>
  <c r="D66" i="7"/>
  <c r="C66" i="7"/>
  <c r="E65" i="7"/>
  <c r="D65" i="7"/>
  <c r="C65" i="7"/>
  <c r="E66" i="9"/>
  <c r="D66" i="9"/>
  <c r="C66" i="9"/>
  <c r="E65" i="9"/>
  <c r="D65" i="9"/>
  <c r="C65" i="9"/>
  <c r="D66" i="6"/>
  <c r="C66" i="6"/>
  <c r="D65" i="6"/>
  <c r="C66" i="4"/>
  <c r="D66" i="4"/>
  <c r="C65" i="4"/>
  <c r="D65" i="4"/>
  <c r="E18" i="6" l="1"/>
  <c r="E66" i="6" s="1"/>
  <c r="E18" i="4"/>
  <c r="E12" i="4"/>
  <c r="E17" i="6"/>
  <c r="E65" i="6" s="1"/>
  <c r="C17" i="6"/>
  <c r="C11" i="6"/>
  <c r="E17" i="4"/>
  <c r="E65" i="4" s="1"/>
  <c r="E13" i="6"/>
  <c r="E19" i="4"/>
  <c r="E13" i="4"/>
  <c r="E66" i="4" l="1"/>
  <c r="C65" i="6"/>
  <c r="E10" i="7"/>
  <c r="C10" i="7"/>
  <c r="E10" i="9"/>
  <c r="C10" i="9"/>
  <c r="E10" i="6"/>
  <c r="C10" i="6"/>
  <c r="E10" i="4"/>
  <c r="E49" i="7" l="1"/>
  <c r="D49" i="7"/>
  <c r="C49" i="7"/>
  <c r="E49" i="9"/>
  <c r="D49" i="9"/>
  <c r="C49" i="9"/>
  <c r="E49" i="6"/>
  <c r="D49" i="6"/>
  <c r="C49" i="6"/>
  <c r="C49" i="4"/>
  <c r="D49" i="4"/>
  <c r="E49" i="4"/>
  <c r="C20" i="7" l="1"/>
  <c r="D20" i="7"/>
  <c r="E20" i="7"/>
  <c r="C20" i="9"/>
  <c r="D20" i="9"/>
  <c r="E20" i="9"/>
  <c r="C20" i="6"/>
  <c r="D20" i="6"/>
  <c r="E20" i="6"/>
  <c r="C20" i="4"/>
  <c r="D20" i="4"/>
  <c r="E20" i="4"/>
  <c r="D19" i="11" l="1"/>
  <c r="E19" i="11"/>
  <c r="C19" i="11"/>
  <c r="C17" i="11"/>
  <c r="D17" i="11"/>
  <c r="E17" i="11"/>
  <c r="C18" i="11"/>
  <c r="D18" i="11"/>
  <c r="E18" i="11"/>
  <c r="C20" i="11"/>
  <c r="D20" i="11"/>
  <c r="E20" i="11"/>
  <c r="D16" i="11"/>
  <c r="E16" i="11"/>
  <c r="C16" i="11"/>
  <c r="D19" i="10"/>
  <c r="E19" i="10"/>
  <c r="C19" i="10"/>
  <c r="C17" i="10"/>
  <c r="D17" i="10"/>
  <c r="E17" i="10"/>
  <c r="C18" i="10"/>
  <c r="D18" i="10"/>
  <c r="E18" i="10"/>
  <c r="C20" i="10"/>
  <c r="D20" i="10"/>
  <c r="E20" i="10"/>
  <c r="D16" i="10"/>
  <c r="E16" i="10"/>
  <c r="C16" i="10"/>
  <c r="D19" i="8"/>
  <c r="E19" i="8"/>
  <c r="C19" i="8"/>
  <c r="C17" i="8"/>
  <c r="D17" i="8"/>
  <c r="E17" i="8"/>
  <c r="C18" i="8"/>
  <c r="D18" i="8"/>
  <c r="E18" i="8"/>
  <c r="C20" i="8"/>
  <c r="D20" i="8"/>
  <c r="E20" i="8"/>
  <c r="D16" i="8"/>
  <c r="E16" i="8"/>
  <c r="C16" i="8"/>
  <c r="C11" i="11"/>
  <c r="D11" i="11"/>
  <c r="E11" i="11"/>
  <c r="C12" i="11"/>
  <c r="D12" i="11"/>
  <c r="E12" i="11"/>
  <c r="C13" i="11"/>
  <c r="D13" i="11"/>
  <c r="E13" i="11"/>
  <c r="D10" i="11"/>
  <c r="E10" i="11"/>
  <c r="C10" i="11"/>
  <c r="C11" i="10"/>
  <c r="D11" i="10"/>
  <c r="E11" i="10"/>
  <c r="C12" i="10"/>
  <c r="D12" i="10"/>
  <c r="E12" i="10"/>
  <c r="C13" i="10"/>
  <c r="D13" i="10"/>
  <c r="E13" i="10"/>
  <c r="D10" i="10"/>
  <c r="E10" i="10"/>
  <c r="C10" i="10"/>
  <c r="C11" i="8"/>
  <c r="D11" i="8"/>
  <c r="E11" i="8"/>
  <c r="C12" i="8"/>
  <c r="D12" i="8"/>
  <c r="E12" i="8"/>
  <c r="C13" i="8"/>
  <c r="D13" i="8"/>
  <c r="E13" i="8"/>
  <c r="D10" i="8"/>
  <c r="E10" i="8"/>
  <c r="C10" i="8"/>
  <c r="D65" i="10" l="1"/>
  <c r="E66" i="11"/>
  <c r="E65" i="11"/>
  <c r="D66" i="11"/>
  <c r="C65" i="11"/>
  <c r="C66" i="10"/>
  <c r="D65" i="11"/>
  <c r="E66" i="10"/>
  <c r="C66" i="11"/>
  <c r="D66" i="10"/>
  <c r="E63" i="8"/>
  <c r="E66" i="8"/>
  <c r="D63" i="8"/>
  <c r="D66" i="8"/>
  <c r="C66" i="8"/>
  <c r="C63" i="8"/>
  <c r="E65" i="10"/>
  <c r="C65" i="10"/>
  <c r="E62" i="8"/>
  <c r="E65" i="8"/>
  <c r="D65" i="8"/>
  <c r="D62" i="8"/>
  <c r="C65" i="8"/>
  <c r="C62" i="8"/>
  <c r="D49" i="8"/>
  <c r="E49" i="8"/>
  <c r="C49" i="8"/>
  <c r="D49" i="10"/>
  <c r="E49" i="10"/>
  <c r="C49" i="10"/>
  <c r="D49" i="11"/>
  <c r="E49" i="11"/>
  <c r="C49" i="11"/>
  <c r="B20" i="8"/>
  <c r="B19" i="8"/>
  <c r="B18" i="8"/>
  <c r="B17" i="8"/>
  <c r="B16" i="8"/>
  <c r="B13" i="8"/>
  <c r="B12" i="8"/>
  <c r="B11" i="8"/>
  <c r="B10" i="8"/>
  <c r="B20" i="10"/>
  <c r="B19" i="10"/>
  <c r="B18" i="10"/>
  <c r="B17" i="10"/>
  <c r="B16" i="10"/>
  <c r="B13" i="10"/>
  <c r="B12" i="10"/>
  <c r="B11" i="10"/>
  <c r="B65" i="10" s="1"/>
  <c r="B10" i="10"/>
  <c r="B20" i="11"/>
  <c r="B19" i="11"/>
  <c r="B18" i="11"/>
  <c r="B17" i="11"/>
  <c r="B16" i="11"/>
  <c r="B13" i="11"/>
  <c r="B12" i="11"/>
  <c r="B66" i="11" s="1"/>
  <c r="B11" i="11"/>
  <c r="B65" i="11" s="1"/>
  <c r="B10" i="11"/>
  <c r="B19" i="7"/>
  <c r="B18" i="7"/>
  <c r="B20" i="7" s="1"/>
  <c r="B17" i="7"/>
  <c r="B16" i="7"/>
  <c r="B13" i="7"/>
  <c r="B12" i="7"/>
  <c r="B66" i="7" s="1"/>
  <c r="B11" i="7"/>
  <c r="B10" i="7"/>
  <c r="B19" i="9"/>
  <c r="B18" i="9"/>
  <c r="B20" i="9" s="1"/>
  <c r="B17" i="9"/>
  <c r="B16" i="9"/>
  <c r="B13" i="9"/>
  <c r="B12" i="9"/>
  <c r="B66" i="9" s="1"/>
  <c r="B11" i="9"/>
  <c r="B10" i="9"/>
  <c r="B19" i="6"/>
  <c r="B18" i="6"/>
  <c r="B20" i="6" s="1"/>
  <c r="B17" i="6"/>
  <c r="B16" i="6"/>
  <c r="B13" i="6"/>
  <c r="B12" i="6"/>
  <c r="B66" i="6" s="1"/>
  <c r="B11" i="6"/>
  <c r="B65" i="6" s="1"/>
  <c r="B10" i="6"/>
  <c r="B19" i="4"/>
  <c r="B18" i="4"/>
  <c r="B17" i="4"/>
  <c r="B16" i="4"/>
  <c r="B13" i="4"/>
  <c r="B12" i="4"/>
  <c r="B11" i="4"/>
  <c r="B65" i="4" s="1"/>
  <c r="B10" i="4"/>
  <c r="G62" i="8" l="1"/>
  <c r="H62" i="8"/>
  <c r="B20" i="4"/>
  <c r="B45" i="4"/>
  <c r="B66" i="4"/>
  <c r="B66" i="10"/>
  <c r="B63" i="8"/>
  <c r="F62" i="8" s="1"/>
  <c r="B66" i="8"/>
  <c r="B65" i="7"/>
  <c r="B65" i="9"/>
  <c r="B49" i="8"/>
  <c r="B49" i="7"/>
  <c r="B65" i="8"/>
  <c r="B62" i="8"/>
  <c r="B49" i="10"/>
  <c r="B49" i="6"/>
  <c r="B49" i="11"/>
  <c r="B49" i="4"/>
  <c r="B49" i="9"/>
  <c r="B29" i="8"/>
  <c r="B40" i="8" s="1"/>
  <c r="B29" i="10"/>
  <c r="B29" i="11"/>
  <c r="B29" i="7"/>
  <c r="B29" i="9"/>
  <c r="B29" i="6"/>
  <c r="B29" i="4"/>
  <c r="C63" i="11" l="1"/>
  <c r="D63" i="11"/>
  <c r="D57" i="11"/>
  <c r="E40" i="11"/>
  <c r="B24" i="10"/>
  <c r="B24" i="8"/>
  <c r="C33" i="9"/>
  <c r="D33" i="9"/>
  <c r="E33" i="9"/>
  <c r="C32" i="9"/>
  <c r="D32" i="9"/>
  <c r="E32" i="9"/>
  <c r="C62" i="11" l="1"/>
  <c r="C40" i="11"/>
  <c r="C41" i="10"/>
  <c r="C40" i="10"/>
  <c r="C57" i="10"/>
  <c r="C44" i="10"/>
  <c r="E40" i="10"/>
  <c r="C57" i="11"/>
  <c r="D33" i="11"/>
  <c r="D41" i="11"/>
  <c r="D50" i="11"/>
  <c r="C33" i="11"/>
  <c r="E33" i="11"/>
  <c r="C41" i="11"/>
  <c r="C44" i="11"/>
  <c r="C45" i="11"/>
  <c r="C50" i="11"/>
  <c r="E50" i="11"/>
  <c r="B54" i="10"/>
  <c r="B50" i="10"/>
  <c r="B33" i="10"/>
  <c r="B70" i="10"/>
  <c r="C33" i="10"/>
  <c r="E33" i="10"/>
  <c r="C45" i="10"/>
  <c r="C50" i="10"/>
  <c r="C51" i="10" s="1"/>
  <c r="E50" i="10"/>
  <c r="C63" i="10"/>
  <c r="D33" i="10"/>
  <c r="D50" i="10"/>
  <c r="D41" i="10" l="1"/>
  <c r="D51" i="10"/>
  <c r="C62" i="10"/>
  <c r="D63" i="10"/>
  <c r="D57" i="10"/>
  <c r="C46" i="10"/>
  <c r="D51" i="11"/>
  <c r="C51" i="11"/>
  <c r="C46" i="11"/>
  <c r="C64" i="11" s="1"/>
  <c r="C35" i="11"/>
  <c r="B70" i="11"/>
  <c r="B54" i="11"/>
  <c r="B50" i="11"/>
  <c r="B33" i="11"/>
  <c r="D35" i="11"/>
  <c r="D35" i="10"/>
  <c r="C35" i="10"/>
  <c r="C64" i="10" l="1"/>
  <c r="C57" i="8"/>
  <c r="C73" i="8"/>
  <c r="D45" i="11"/>
  <c r="D45" i="10"/>
  <c r="B32" i="9"/>
  <c r="D57" i="8"/>
  <c r="E50" i="8"/>
  <c r="D50" i="8"/>
  <c r="C50" i="8"/>
  <c r="D45" i="8"/>
  <c r="C45" i="8"/>
  <c r="D44" i="8"/>
  <c r="C44" i="8"/>
  <c r="D41" i="8"/>
  <c r="C41" i="8"/>
  <c r="E40" i="8"/>
  <c r="D40" i="8"/>
  <c r="C40" i="8"/>
  <c r="E33" i="8"/>
  <c r="D33" i="8"/>
  <c r="D35" i="8" s="1"/>
  <c r="C33" i="8"/>
  <c r="C35" i="8" s="1"/>
  <c r="B70" i="8" l="1"/>
  <c r="B33" i="9"/>
  <c r="B58" i="9" s="1"/>
  <c r="D46" i="8"/>
  <c r="D64" i="8" s="1"/>
  <c r="C51" i="8"/>
  <c r="B23" i="9"/>
  <c r="C46" i="8"/>
  <c r="C64" i="8" s="1"/>
  <c r="D51" i="8"/>
  <c r="D62" i="10"/>
  <c r="D44" i="10"/>
  <c r="D46" i="10" s="1"/>
  <c r="D40" i="10"/>
  <c r="D44" i="11"/>
  <c r="D46" i="11" s="1"/>
  <c r="D62" i="11"/>
  <c r="D40" i="11"/>
  <c r="B33" i="8"/>
  <c r="B50" i="8"/>
  <c r="B54" i="8"/>
  <c r="D64" i="10" l="1"/>
  <c r="B40" i="11"/>
  <c r="D64" i="11"/>
  <c r="B40" i="10"/>
  <c r="E51" i="11" l="1"/>
  <c r="E57" i="11"/>
  <c r="E63" i="11"/>
  <c r="E41" i="11"/>
  <c r="E44" i="11"/>
  <c r="E35" i="11"/>
  <c r="E63" i="7"/>
  <c r="D63" i="7"/>
  <c r="C63" i="7"/>
  <c r="D62" i="7"/>
  <c r="C62" i="7"/>
  <c r="E50" i="7"/>
  <c r="D50" i="7"/>
  <c r="C50" i="7"/>
  <c r="D45" i="7"/>
  <c r="C45" i="7"/>
  <c r="E44" i="7"/>
  <c r="D44" i="7"/>
  <c r="D46" i="7" s="1"/>
  <c r="C44" i="7"/>
  <c r="E41" i="7"/>
  <c r="D41" i="7"/>
  <c r="C41" i="7"/>
  <c r="E40" i="7"/>
  <c r="D40" i="7"/>
  <c r="C40" i="7"/>
  <c r="E33" i="7"/>
  <c r="D33" i="7"/>
  <c r="C33" i="7"/>
  <c r="E62" i="7"/>
  <c r="B40" i="7"/>
  <c r="E57" i="7"/>
  <c r="D57" i="7"/>
  <c r="C57" i="7"/>
  <c r="E63" i="9"/>
  <c r="D63" i="9"/>
  <c r="C63" i="9"/>
  <c r="D62" i="9"/>
  <c r="C62" i="9"/>
  <c r="E50" i="9"/>
  <c r="E51" i="9" s="1"/>
  <c r="D50" i="9"/>
  <c r="C50" i="9"/>
  <c r="C51" i="9"/>
  <c r="D45" i="9"/>
  <c r="C45" i="9"/>
  <c r="E44" i="9"/>
  <c r="D44" i="9"/>
  <c r="C44" i="9"/>
  <c r="E41" i="9"/>
  <c r="D41" i="9"/>
  <c r="C41" i="9"/>
  <c r="E40" i="9"/>
  <c r="D40" i="9"/>
  <c r="C40" i="9"/>
  <c r="E35" i="9"/>
  <c r="D35" i="9"/>
  <c r="C35" i="9"/>
  <c r="B70" i="9"/>
  <c r="E62" i="9"/>
  <c r="B62" i="9"/>
  <c r="B40" i="9"/>
  <c r="E57" i="9"/>
  <c r="D57" i="9"/>
  <c r="C57" i="9"/>
  <c r="E63" i="6"/>
  <c r="D63" i="6"/>
  <c r="C63" i="6"/>
  <c r="D62" i="6"/>
  <c r="C62" i="6"/>
  <c r="E57" i="6"/>
  <c r="C57" i="6"/>
  <c r="E50" i="6"/>
  <c r="D50" i="6"/>
  <c r="C50" i="6"/>
  <c r="D45" i="6"/>
  <c r="C45" i="6"/>
  <c r="E44" i="6"/>
  <c r="D44" i="6"/>
  <c r="C44" i="6"/>
  <c r="E41" i="6"/>
  <c r="D41" i="6"/>
  <c r="C41" i="6"/>
  <c r="E40" i="6"/>
  <c r="D40" i="6"/>
  <c r="C40" i="6"/>
  <c r="E33" i="6"/>
  <c r="D33" i="6"/>
  <c r="C33" i="6"/>
  <c r="B40" i="6"/>
  <c r="D57" i="6"/>
  <c r="C46" i="7" l="1"/>
  <c r="C64" i="7" s="1"/>
  <c r="C46" i="6"/>
  <c r="E51" i="7"/>
  <c r="B70" i="6"/>
  <c r="B70" i="7"/>
  <c r="B51" i="11"/>
  <c r="B41" i="11"/>
  <c r="B57" i="11"/>
  <c r="B63" i="11"/>
  <c r="B35" i="11"/>
  <c r="B44" i="11"/>
  <c r="E63" i="10"/>
  <c r="E51" i="10"/>
  <c r="E44" i="10"/>
  <c r="E57" i="10"/>
  <c r="E35" i="10"/>
  <c r="E41" i="10"/>
  <c r="C51" i="7"/>
  <c r="D46" i="9"/>
  <c r="D64" i="9" s="1"/>
  <c r="D46" i="6"/>
  <c r="D64" i="6" s="1"/>
  <c r="E51" i="6"/>
  <c r="D51" i="6"/>
  <c r="C51" i="6"/>
  <c r="C46" i="9"/>
  <c r="C64" i="9" s="1"/>
  <c r="B32" i="6"/>
  <c r="B34" i="6" s="1"/>
  <c r="E32" i="10"/>
  <c r="E32" i="11"/>
  <c r="E32" i="8"/>
  <c r="C35" i="6"/>
  <c r="E35" i="6"/>
  <c r="D32" i="11"/>
  <c r="D32" i="8"/>
  <c r="D32" i="10"/>
  <c r="B62" i="6"/>
  <c r="D35" i="6"/>
  <c r="B57" i="6"/>
  <c r="C35" i="7"/>
  <c r="E35" i="7"/>
  <c r="D35" i="7"/>
  <c r="B63" i="6"/>
  <c r="B57" i="7"/>
  <c r="D51" i="7"/>
  <c r="D51" i="9"/>
  <c r="D64" i="7"/>
  <c r="B32" i="7"/>
  <c r="B34" i="7" s="1"/>
  <c r="B45" i="7"/>
  <c r="D32" i="7"/>
  <c r="D34" i="7" s="1"/>
  <c r="B33" i="7"/>
  <c r="B41" i="7"/>
  <c r="B44" i="7"/>
  <c r="B50" i="7"/>
  <c r="B54" i="7"/>
  <c r="B63" i="7"/>
  <c r="C32" i="7"/>
  <c r="C34" i="7" s="1"/>
  <c r="E32" i="7"/>
  <c r="E34" i="7" s="1"/>
  <c r="E45" i="7"/>
  <c r="E46" i="7" s="1"/>
  <c r="E64" i="7" s="1"/>
  <c r="B57" i="9"/>
  <c r="B69" i="9"/>
  <c r="B41" i="9"/>
  <c r="B44" i="9"/>
  <c r="B45" i="9"/>
  <c r="B50" i="9"/>
  <c r="B54" i="9"/>
  <c r="B63" i="9"/>
  <c r="B34" i="9"/>
  <c r="E45" i="9"/>
  <c r="E46" i="9" s="1"/>
  <c r="E64" i="9" s="1"/>
  <c r="C64" i="6"/>
  <c r="C32" i="6"/>
  <c r="C34" i="6" s="1"/>
  <c r="C59" i="6" s="1"/>
  <c r="E32" i="6"/>
  <c r="E34" i="6" s="1"/>
  <c r="E45" i="6"/>
  <c r="E46" i="6" s="1"/>
  <c r="E62" i="6"/>
  <c r="D32" i="6"/>
  <c r="D34" i="6" s="1"/>
  <c r="B33" i="6"/>
  <c r="B41" i="6"/>
  <c r="B44" i="6"/>
  <c r="B50" i="6"/>
  <c r="B54" i="6"/>
  <c r="E59" i="6" l="1"/>
  <c r="D59" i="6"/>
  <c r="C59" i="7"/>
  <c r="E59" i="7"/>
  <c r="B41" i="10"/>
  <c r="B51" i="10"/>
  <c r="B35" i="10"/>
  <c r="B57" i="10"/>
  <c r="B63" i="10"/>
  <c r="B44" i="10"/>
  <c r="E51" i="8"/>
  <c r="E41" i="8"/>
  <c r="E44" i="8"/>
  <c r="E57" i="8"/>
  <c r="E35" i="8"/>
  <c r="B45" i="6"/>
  <c r="B46" i="6" s="1"/>
  <c r="B64" i="6" s="1"/>
  <c r="B23" i="6"/>
  <c r="B69" i="6" s="1"/>
  <c r="B35" i="6"/>
  <c r="B59" i="6" s="1"/>
  <c r="B58" i="6"/>
  <c r="D58" i="6"/>
  <c r="E45" i="10"/>
  <c r="E46" i="10" s="1"/>
  <c r="E62" i="10"/>
  <c r="E62" i="11"/>
  <c r="E45" i="11"/>
  <c r="E46" i="11" s="1"/>
  <c r="D34" i="10"/>
  <c r="D59" i="10" s="1"/>
  <c r="D58" i="10"/>
  <c r="D34" i="11"/>
  <c r="D59" i="11" s="1"/>
  <c r="D58" i="11"/>
  <c r="E34" i="11"/>
  <c r="E59" i="11" s="1"/>
  <c r="E58" i="11"/>
  <c r="B32" i="10"/>
  <c r="C32" i="10"/>
  <c r="C32" i="11"/>
  <c r="B32" i="11"/>
  <c r="E45" i="8"/>
  <c r="E46" i="8" s="1"/>
  <c r="E64" i="8" s="1"/>
  <c r="D34" i="8"/>
  <c r="D59" i="8" s="1"/>
  <c r="D58" i="8"/>
  <c r="E58" i="6"/>
  <c r="C58" i="6"/>
  <c r="E34" i="8"/>
  <c r="E58" i="8"/>
  <c r="E34" i="10"/>
  <c r="E59" i="10" s="1"/>
  <c r="E58" i="10"/>
  <c r="B32" i="8"/>
  <c r="C32" i="8"/>
  <c r="D59" i="7"/>
  <c r="D58" i="7"/>
  <c r="E58" i="7"/>
  <c r="C58" i="7"/>
  <c r="B35" i="7"/>
  <c r="B59" i="7" s="1"/>
  <c r="B58" i="7"/>
  <c r="B46" i="9"/>
  <c r="B64" i="9" s="1"/>
  <c r="E34" i="9"/>
  <c r="E59" i="9" s="1"/>
  <c r="E58" i="9"/>
  <c r="D34" i="9"/>
  <c r="D59" i="9" s="1"/>
  <c r="D58" i="9"/>
  <c r="C34" i="9"/>
  <c r="C59" i="9" s="1"/>
  <c r="C58" i="9"/>
  <c r="B35" i="9"/>
  <c r="B59" i="9" s="1"/>
  <c r="B51" i="7"/>
  <c r="B51" i="9"/>
  <c r="B46" i="7"/>
  <c r="B62" i="7"/>
  <c r="B23" i="7"/>
  <c r="B69" i="7" s="1"/>
  <c r="B51" i="6"/>
  <c r="E64" i="6"/>
  <c r="E59" i="8" l="1"/>
  <c r="E73" i="8"/>
  <c r="E64" i="11"/>
  <c r="B57" i="8"/>
  <c r="B51" i="8"/>
  <c r="B44" i="8"/>
  <c r="B41" i="8"/>
  <c r="B35" i="8"/>
  <c r="B34" i="8"/>
  <c r="B58" i="8"/>
  <c r="C34" i="11"/>
  <c r="C59" i="11" s="1"/>
  <c r="C58" i="11"/>
  <c r="B34" i="10"/>
  <c r="B59" i="10" s="1"/>
  <c r="B58" i="10"/>
  <c r="C34" i="8"/>
  <c r="C59" i="8" s="1"/>
  <c r="C58" i="8"/>
  <c r="B23" i="8"/>
  <c r="B69" i="8" s="1"/>
  <c r="B45" i="8"/>
  <c r="B34" i="11"/>
  <c r="B59" i="11" s="1"/>
  <c r="B58" i="11"/>
  <c r="C34" i="10"/>
  <c r="C59" i="10" s="1"/>
  <c r="C58" i="10"/>
  <c r="B45" i="11"/>
  <c r="B46" i="11" s="1"/>
  <c r="B23" i="11"/>
  <c r="B69" i="11" s="1"/>
  <c r="B62" i="11"/>
  <c r="B23" i="10"/>
  <c r="B69" i="10" s="1"/>
  <c r="B45" i="10"/>
  <c r="B46" i="10" s="1"/>
  <c r="B62" i="10"/>
  <c r="E64" i="10"/>
  <c r="B64" i="7"/>
  <c r="E63" i="4"/>
  <c r="D63" i="4"/>
  <c r="C63" i="4"/>
  <c r="E62" i="4"/>
  <c r="D62" i="4"/>
  <c r="C62" i="4"/>
  <c r="E57" i="4"/>
  <c r="D57" i="4"/>
  <c r="C57" i="4"/>
  <c r="E50" i="4"/>
  <c r="D50" i="4"/>
  <c r="C50" i="4"/>
  <c r="E45" i="4"/>
  <c r="D45" i="4"/>
  <c r="C45" i="4"/>
  <c r="E44" i="4"/>
  <c r="D44" i="4"/>
  <c r="D46" i="4" s="1"/>
  <c r="C44" i="4"/>
  <c r="E41" i="4"/>
  <c r="D41" i="4"/>
  <c r="C41" i="4"/>
  <c r="E40" i="4"/>
  <c r="D40" i="4"/>
  <c r="C40" i="4"/>
  <c r="E33" i="4"/>
  <c r="D33" i="4"/>
  <c r="C33" i="4"/>
  <c r="E32" i="4"/>
  <c r="E34" i="4" s="1"/>
  <c r="D32" i="4"/>
  <c r="D34" i="4" s="1"/>
  <c r="C32" i="4"/>
  <c r="C34" i="4" s="1"/>
  <c r="B32" i="4"/>
  <c r="B40" i="4"/>
  <c r="B46" i="8" l="1"/>
  <c r="B64" i="8" s="1"/>
  <c r="E46" i="4"/>
  <c r="E64" i="4" s="1"/>
  <c r="C46" i="4"/>
  <c r="C64" i="4" s="1"/>
  <c r="B59" i="8"/>
  <c r="D51" i="4"/>
  <c r="B64" i="10"/>
  <c r="B64" i="11"/>
  <c r="B70" i="4"/>
  <c r="E51" i="4"/>
  <c r="C51" i="4"/>
  <c r="B62" i="4"/>
  <c r="D58" i="4"/>
  <c r="B57" i="4"/>
  <c r="B34" i="4"/>
  <c r="B63" i="4"/>
  <c r="B54" i="4"/>
  <c r="C58" i="4"/>
  <c r="E58" i="4"/>
  <c r="D64" i="4"/>
  <c r="B23" i="4"/>
  <c r="B69" i="4" s="1"/>
  <c r="C35" i="4"/>
  <c r="C59" i="4" s="1"/>
  <c r="E35" i="4"/>
  <c r="E59" i="4" s="1"/>
  <c r="B33" i="4"/>
  <c r="D35" i="4"/>
  <c r="D59" i="4" s="1"/>
  <c r="B41" i="4"/>
  <c r="B44" i="4"/>
  <c r="B50" i="4"/>
  <c r="B51" i="4" l="1"/>
  <c r="B46" i="4"/>
  <c r="B64" i="4" s="1"/>
  <c r="B58" i="4"/>
  <c r="B35" i="4"/>
  <c r="B59" i="4" s="1"/>
</calcChain>
</file>

<file path=xl/comments1.xml><?xml version="1.0" encoding="utf-8"?>
<comments xmlns="http://schemas.openxmlformats.org/spreadsheetml/2006/main">
  <authors>
    <author>Diego Astorga</author>
  </authors>
  <commentList>
    <comment ref="A9" authorId="0" shapeId="0">
      <text>
        <r>
          <rPr>
            <b/>
            <sz val="9"/>
            <color indexed="81"/>
            <rFont val="Tahoma"/>
            <family val="2"/>
          </rPr>
          <t>Diego Astorga:</t>
        </r>
        <r>
          <rPr>
            <sz val="9"/>
            <color indexed="81"/>
            <rFont val="Tahoma"/>
            <family val="2"/>
          </rPr>
          <t xml:space="preserve">
Como solo se reportan en los informes, los beneficiarios nuevos que ingresan, el total de beneficiarios del segundo trimestre sería la suma de los nuevos que ingresaron en los seis meses anteriores, y este número sería igual al número de benficiarios del Primer Semestre.</t>
        </r>
      </text>
    </comment>
  </commentList>
</comments>
</file>

<file path=xl/comments2.xml><?xml version="1.0" encoding="utf-8"?>
<comments xmlns="http://schemas.openxmlformats.org/spreadsheetml/2006/main">
  <authors>
    <author>Diego Astorga</author>
  </authors>
  <commentList>
    <comment ref="A9" authorId="0" shapeId="0">
      <text>
        <r>
          <rPr>
            <b/>
            <sz val="9"/>
            <color indexed="81"/>
            <rFont val="Tahoma"/>
            <family val="2"/>
          </rPr>
          <t>Diego Astorga:</t>
        </r>
        <r>
          <rPr>
            <sz val="9"/>
            <color indexed="81"/>
            <rFont val="Tahoma"/>
            <family val="2"/>
          </rPr>
          <t xml:space="preserve">
Como solo se reportan en los informes, los beneficiarios nuevos que ingresan, el total de beneficiarios del tercer trimestre sería la suma de los nuevos que ingresaron en los nueve meses anteriores, y este número sería igual al número de benficiarios del 3 Trimestre Acumulado.</t>
        </r>
      </text>
    </comment>
  </commentList>
</comments>
</file>

<file path=xl/comments3.xml><?xml version="1.0" encoding="utf-8"?>
<comments xmlns="http://schemas.openxmlformats.org/spreadsheetml/2006/main">
  <authors>
    <author>Diego Astorga</author>
  </authors>
  <commentList>
    <comment ref="A9" authorId="0" shapeId="0">
      <text>
        <r>
          <rPr>
            <b/>
            <sz val="9"/>
            <color indexed="81"/>
            <rFont val="Tahoma"/>
            <family val="2"/>
          </rPr>
          <t>Diego Astorga:</t>
        </r>
        <r>
          <rPr>
            <sz val="9"/>
            <color indexed="81"/>
            <rFont val="Tahoma"/>
            <family val="2"/>
          </rPr>
          <t xml:space="preserve">
Como solo se reportan en los informes, los beneficiarios nuevos que ingresan, el total de beneficiarios del cuarto trimestre sería la suma de los nuevos que ingresaron en los doce meses anteriores, y este número sería igual al número de benficiarios del año en total.</t>
        </r>
      </text>
    </comment>
  </commentList>
</comments>
</file>

<file path=xl/sharedStrings.xml><?xml version="1.0" encoding="utf-8"?>
<sst xmlns="http://schemas.openxmlformats.org/spreadsheetml/2006/main" count="460" uniqueCount="132">
  <si>
    <t>Indicador</t>
  </si>
  <si>
    <t>Total</t>
  </si>
  <si>
    <t>Productos</t>
  </si>
  <si>
    <t>programa</t>
  </si>
  <si>
    <t>Servicios</t>
  </si>
  <si>
    <t>Ayudas Téc</t>
  </si>
  <si>
    <t>Insumos</t>
  </si>
  <si>
    <t xml:space="preserve">Beneficiarios </t>
  </si>
  <si>
    <t>Gasto FODESAF</t>
  </si>
  <si>
    <t>Ingresos FODESAF</t>
  </si>
  <si>
    <t>Otros insumos</t>
  </si>
  <si>
    <t>Población objetivo</t>
  </si>
  <si>
    <t>Cálculos intermedios</t>
  </si>
  <si>
    <t>Indicadores</t>
  </si>
  <si>
    <t>De Cobertura Potencial</t>
  </si>
  <si>
    <t>Cobertura Programada</t>
  </si>
  <si>
    <t>Cobertura Efectiva</t>
  </si>
  <si>
    <t>De resultado</t>
  </si>
  <si>
    <t>Índice efectividad en beneficiarios (IEB)</t>
  </si>
  <si>
    <t xml:space="preserve">Índice efectividad en gasto (IEG) </t>
  </si>
  <si>
    <t>Índice efectividad total (IET)</t>
  </si>
  <si>
    <t xml:space="preserve">De avance </t>
  </si>
  <si>
    <t xml:space="preserve">Índice avance beneficiarios (IAB) </t>
  </si>
  <si>
    <t>Índice avance gasto (IAG)</t>
  </si>
  <si>
    <t xml:space="preserve">Índice avance total (IAT) </t>
  </si>
  <si>
    <t>Índice transferencia efectiva del gasto (ITG)</t>
  </si>
  <si>
    <t>De expansión</t>
  </si>
  <si>
    <t xml:space="preserve">Índice de crecimiento beneficiarios (ICB) </t>
  </si>
  <si>
    <t xml:space="preserve">Índice de crecimiento del gasto real (ICGR) </t>
  </si>
  <si>
    <t xml:space="preserve">Índice de crecimiento del gasto real por beneficiario (ICGRB) </t>
  </si>
  <si>
    <t>De gasto medio</t>
  </si>
  <si>
    <t xml:space="preserve">Índice de eficiencia (IE) </t>
  </si>
  <si>
    <t>De giro de recursos</t>
  </si>
  <si>
    <t>Índice de giro efectivo (IGE)</t>
  </si>
  <si>
    <t xml:space="preserve">Índice de uso de recursos (IUR) </t>
  </si>
  <si>
    <t>Alternat. Residenciales</t>
  </si>
  <si>
    <t>Fuentes:</t>
  </si>
  <si>
    <t>De composición</t>
  </si>
  <si>
    <t>De Composición</t>
  </si>
  <si>
    <t>Total Programa</t>
  </si>
  <si>
    <t>Ayudas Técnicas</t>
  </si>
  <si>
    <t>Notas:</t>
  </si>
  <si>
    <t>Los beneficiarios se miden como la cantidad de individuos distintos atendidos en el período.</t>
  </si>
  <si>
    <t xml:space="preserve">Gasto programado mensual por beneficiario (GPB) </t>
  </si>
  <si>
    <t xml:space="preserve">Gasto efectivo mensual por beneficiario (GEB) </t>
  </si>
  <si>
    <t>Modificaciones presupuestarias o de metas retroactivas no se toman en cuenta para evaluación del programa.</t>
  </si>
  <si>
    <t>Efectivos 1T 2012</t>
  </si>
  <si>
    <t>IPC (1T 2012)</t>
  </si>
  <si>
    <t>Gasto efectivo real 1T 2012</t>
  </si>
  <si>
    <t>Gasto efectivo real por beneficiario 1T 2012</t>
  </si>
  <si>
    <t>Efectivos 2T 2012</t>
  </si>
  <si>
    <t>IPC (2T 2012)</t>
  </si>
  <si>
    <t>Gasto efectivo real 2T 2012</t>
  </si>
  <si>
    <t>Gasto efectivo real por beneficiario 2T 2012</t>
  </si>
  <si>
    <t>Efectivos 3T 2012</t>
  </si>
  <si>
    <t>IPC (3T 2012)</t>
  </si>
  <si>
    <t>Gasto efectivo real 3T 2012</t>
  </si>
  <si>
    <t>Gasto efectivo real por beneficiario 3T 2012</t>
  </si>
  <si>
    <t>Efectivos 4T 2012</t>
  </si>
  <si>
    <t>IPC (4T 2012)</t>
  </si>
  <si>
    <t>Gasto efectivo real 4T 2012</t>
  </si>
  <si>
    <t>Gasto efectivo real por beneficiario 4T 2012</t>
  </si>
  <si>
    <t>Efectivos  2012</t>
  </si>
  <si>
    <t>IPC ( 2012)</t>
  </si>
  <si>
    <t>Gasto efectivo real  2012</t>
  </si>
  <si>
    <t>Gasto efectivo real por beneficiario  2012</t>
  </si>
  <si>
    <t>Efectivos 3TA 2012</t>
  </si>
  <si>
    <t>IPC (3TA 2012)</t>
  </si>
  <si>
    <t>Gasto efectivo real 3TA 2012</t>
  </si>
  <si>
    <t>Gasto efectivo real por beneficiario 3TA 2012</t>
  </si>
  <si>
    <t>Indicadores aplicados a CNREE Primer trimestre 2013</t>
  </si>
  <si>
    <t>Programados 1T 2013</t>
  </si>
  <si>
    <t>Efectivos 1T 2013</t>
  </si>
  <si>
    <t>Programados año 2013</t>
  </si>
  <si>
    <t>En transferencias 1T 2013</t>
  </si>
  <si>
    <t>IPC (1T 2013)</t>
  </si>
  <si>
    <t>Gasto efectivo real 1T 2013</t>
  </si>
  <si>
    <t>Gasto efectivo real por beneficiario 1T 2013</t>
  </si>
  <si>
    <t>Metas y modificaciones 2013, DESAF</t>
  </si>
  <si>
    <t>Indicadores aplicados a CNREE Segundo trimestre 2013</t>
  </si>
  <si>
    <t>Programados 2T 2013</t>
  </si>
  <si>
    <t>Efectivos 2T 2013</t>
  </si>
  <si>
    <t>En transferencias 2T 2013</t>
  </si>
  <si>
    <t>IPC (2T 2013)</t>
  </si>
  <si>
    <t>Gasto efectivo real 2T 2013</t>
  </si>
  <si>
    <t>Gasto efectivo real por beneficiario 2T 2013</t>
  </si>
  <si>
    <t>Indicadores aplicados a CNREE Tercer trimestre 2013</t>
  </si>
  <si>
    <t>Programados 3T 2013</t>
  </si>
  <si>
    <t>Efectivos 3T 2013</t>
  </si>
  <si>
    <t>En transferencias 3T 2013</t>
  </si>
  <si>
    <t>IPC (3T 2013)</t>
  </si>
  <si>
    <t>Gasto efectivo real 3T 2013</t>
  </si>
  <si>
    <t>Gasto efectivo real por beneficiario 3T 2013</t>
  </si>
  <si>
    <t>Indicadores aplicados a CNREE Cuarto trimestre 2013</t>
  </si>
  <si>
    <t>Programados 4T 2013</t>
  </si>
  <si>
    <t>Efectivos 4T 2013</t>
  </si>
  <si>
    <t>En transferencias 4T 2013</t>
  </si>
  <si>
    <t>IPC (4T 2013)</t>
  </si>
  <si>
    <t>Gasto efectivo real 4T 2013</t>
  </si>
  <si>
    <t>Gasto efectivo real por beneficiario 4T 2013</t>
  </si>
  <si>
    <t>Indicadores aplicados a CNREE. Primer Semestre 2013</t>
  </si>
  <si>
    <t>Programados  2013</t>
  </si>
  <si>
    <t>Efectivos  2013</t>
  </si>
  <si>
    <t>En transferencias  2013</t>
  </si>
  <si>
    <t>IPC ( 2013)</t>
  </si>
  <si>
    <t>Gasto efectivo real  2013</t>
  </si>
  <si>
    <t>Gasto efectivo real por beneficiario  2013</t>
  </si>
  <si>
    <t>Indicadores aplicados a CNREE. Tercer Trimestre Acumulado 2013</t>
  </si>
  <si>
    <t>Programados 3TA 2013</t>
  </si>
  <si>
    <t>Efectivos 3TA 2013</t>
  </si>
  <si>
    <t>En transferencias 3TA 2013</t>
  </si>
  <si>
    <t>IPC (3TA 2013)</t>
  </si>
  <si>
    <t>Gasto efectivo real 3TA 2013</t>
  </si>
  <si>
    <t>Gasto efectivo real por beneficiario 3TA 2013</t>
  </si>
  <si>
    <t>Indicadores aplicados a CNREE. Año 2013</t>
  </si>
  <si>
    <t>Informes trimestrales 2012 y 2013, CNREE</t>
  </si>
  <si>
    <t>Efectivos IS 2012</t>
  </si>
  <si>
    <t>Programados  IS 2013</t>
  </si>
  <si>
    <t>Efectivos  IS 2013</t>
  </si>
  <si>
    <t>Efectivos IS 2013</t>
  </si>
  <si>
    <t>En transferencias IS 2013</t>
  </si>
  <si>
    <t>Programados IS  2013</t>
  </si>
  <si>
    <t xml:space="preserve">Gasto programado trimestral por beneficiario (GPB) </t>
  </si>
  <si>
    <t xml:space="preserve">Gasto efectivo trimestral por beneficiario (GEB) </t>
  </si>
  <si>
    <t xml:space="preserve">Gasto programado semestral por beneficiario (GPB) </t>
  </si>
  <si>
    <t xml:space="preserve">Gasto efectivo semestral por beneficiario (GEB) </t>
  </si>
  <si>
    <t xml:space="preserve">Gasto programado acumulado por beneficiario (GPB) </t>
  </si>
  <si>
    <t xml:space="preserve">Gasto efectivo acumulado por beneficiario (GEB) </t>
  </si>
  <si>
    <t xml:space="preserve">Gasto programado anual por beneficiario (GPB) </t>
  </si>
  <si>
    <t xml:space="preserve">Gasto efectivo anual por beneficiario (GEB) </t>
  </si>
  <si>
    <t>Fecha de actualización: 02/09/2014</t>
  </si>
  <si>
    <t>Total programa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</si>
</sst>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5"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1"/>
      <color theme="1"/>
      <name val="Calibri"/>
      <family val="2"/>
      <scheme val="minor"/>
    </font>
  </fonts>
  <fills count="2">
    <fill>
      <patternFill patternType="none"/>
    </fill>
    <fill>
      <patternFill patternType="gray125"/>
    </fill>
  </fills>
  <borders count="4">
    <border>
      <left/>
      <right/>
      <top/>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s>
  <cellStyleXfs count="3">
    <xf numFmtId="0" fontId="0" fillId="0" borderId="0"/>
    <xf numFmtId="43" fontId="4" fillId="0" borderId="0" applyFont="0" applyFill="0" applyBorder="0" applyAlignment="0" applyProtection="0"/>
    <xf numFmtId="9" fontId="4" fillId="0" borderId="0" applyFont="0" applyFill="0" applyBorder="0" applyAlignment="0" applyProtection="0"/>
  </cellStyleXfs>
  <cellXfs count="16">
    <xf numFmtId="0" fontId="0" fillId="0" borderId="0" xfId="0"/>
    <xf numFmtId="4" fontId="0" fillId="0" borderId="0" xfId="0" applyNumberFormat="1"/>
    <xf numFmtId="4" fontId="0" fillId="0" borderId="1" xfId="0" applyNumberFormat="1" applyBorder="1" applyAlignment="1">
      <alignment horizontal="center"/>
    </xf>
    <xf numFmtId="4" fontId="0" fillId="0" borderId="3" xfId="0" applyNumberFormat="1" applyBorder="1" applyAlignment="1">
      <alignment horizontal="center"/>
    </xf>
    <xf numFmtId="4" fontId="1" fillId="0" borderId="0" xfId="0" applyNumberFormat="1" applyFont="1"/>
    <xf numFmtId="4" fontId="0" fillId="0" borderId="3" xfId="0" applyNumberFormat="1" applyBorder="1"/>
    <xf numFmtId="3" fontId="0" fillId="0" borderId="0" xfId="0" applyNumberFormat="1" applyFill="1"/>
    <xf numFmtId="3" fontId="0" fillId="0" borderId="0" xfId="0" applyNumberFormat="1"/>
    <xf numFmtId="4" fontId="0" fillId="0" borderId="0" xfId="0" applyNumberFormat="1" applyBorder="1"/>
    <xf numFmtId="4" fontId="0" fillId="0" borderId="0" xfId="0" applyNumberFormat="1" applyFill="1"/>
    <xf numFmtId="164" fontId="0" fillId="0" borderId="0" xfId="1" applyNumberFormat="1" applyFont="1"/>
    <xf numFmtId="10" fontId="0" fillId="0" borderId="0" xfId="2" applyNumberFormat="1" applyFont="1"/>
    <xf numFmtId="4" fontId="0" fillId="0" borderId="1" xfId="0" applyNumberFormat="1" applyBorder="1" applyAlignment="1">
      <alignment horizontal="center" vertical="center"/>
    </xf>
    <xf numFmtId="4" fontId="0" fillId="0" borderId="3" xfId="0" applyNumberFormat="1" applyBorder="1" applyAlignment="1">
      <alignment horizontal="center" vertical="center"/>
    </xf>
    <xf numFmtId="4" fontId="0" fillId="0" borderId="2" xfId="0" applyNumberFormat="1" applyBorder="1" applyAlignment="1">
      <alignment horizontal="center"/>
    </xf>
    <xf numFmtId="4" fontId="1" fillId="0" borderId="0" xfId="0" applyNumberFormat="1" applyFont="1" applyAlignment="1">
      <alignment horizont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CR" sz="1400"/>
              <a:t>CNREE: Indicadores de Cobertura Potencial 2013</a:t>
            </a:r>
          </a:p>
        </c:rich>
      </c:tx>
      <c:layout/>
      <c:overlay val="0"/>
    </c:title>
    <c:autoTitleDeleted val="0"/>
    <c:plotArea>
      <c:layout/>
      <c:barChart>
        <c:barDir val="col"/>
        <c:grouping val="clustered"/>
        <c:varyColors val="0"/>
        <c:ser>
          <c:idx val="0"/>
          <c:order val="0"/>
          <c:tx>
            <c:strRef>
              <c:f>Anual!$A$40</c:f>
              <c:strCache>
                <c:ptCount val="1"/>
                <c:pt idx="0">
                  <c:v>Cobertura Programada</c:v>
                </c:pt>
              </c:strCache>
            </c:strRef>
          </c:tx>
          <c:invertIfNegative val="0"/>
          <c:cat>
            <c:strRef>
              <c:f>(Anual!$B$5,Anual!$C$5,Anual!$E$5)</c:f>
              <c:strCache>
                <c:ptCount val="3"/>
                <c:pt idx="0">
                  <c:v>Total Programa</c:v>
                </c:pt>
                <c:pt idx="1">
                  <c:v>Servicios</c:v>
                </c:pt>
                <c:pt idx="2">
                  <c:v>Alternat. Residenciales</c:v>
                </c:pt>
              </c:strCache>
            </c:strRef>
          </c:cat>
          <c:val>
            <c:numRef>
              <c:f>(Anual!$B$40:$C$40,Anual!$E$40)</c:f>
              <c:numCache>
                <c:formatCode>#,##0.00</c:formatCode>
                <c:ptCount val="3"/>
                <c:pt idx="0">
                  <c:v>8.0625452570601013</c:v>
                </c:pt>
                <c:pt idx="1">
                  <c:v>7.0979606400790498</c:v>
                </c:pt>
                <c:pt idx="2">
                  <c:v>12.591828843923187</c:v>
                </c:pt>
              </c:numCache>
            </c:numRef>
          </c:val>
        </c:ser>
        <c:ser>
          <c:idx val="1"/>
          <c:order val="1"/>
          <c:tx>
            <c:strRef>
              <c:f>Anual!$A$41</c:f>
              <c:strCache>
                <c:ptCount val="1"/>
                <c:pt idx="0">
                  <c:v>Cobertura Efectiva</c:v>
                </c:pt>
              </c:strCache>
            </c:strRef>
          </c:tx>
          <c:invertIfNegative val="0"/>
          <c:cat>
            <c:strRef>
              <c:f>(Anual!$B$5,Anual!$C$5,Anual!$E$5)</c:f>
              <c:strCache>
                <c:ptCount val="3"/>
                <c:pt idx="0">
                  <c:v>Total Programa</c:v>
                </c:pt>
                <c:pt idx="1">
                  <c:v>Servicios</c:v>
                </c:pt>
                <c:pt idx="2">
                  <c:v>Alternat. Residenciales</c:v>
                </c:pt>
              </c:strCache>
            </c:strRef>
          </c:cat>
          <c:val>
            <c:numRef>
              <c:f>(Anual!$B$41:$C$41,Anual!$E$41)</c:f>
              <c:numCache>
                <c:formatCode>#,##0.00</c:formatCode>
                <c:ptCount val="3"/>
                <c:pt idx="0">
                  <c:v>8.0648081100651705</c:v>
                </c:pt>
                <c:pt idx="1">
                  <c:v>7.1528559273186394</c:v>
                </c:pt>
                <c:pt idx="2">
                  <c:v>12.34695192679469</c:v>
                </c:pt>
              </c:numCache>
            </c:numRef>
          </c:val>
        </c:ser>
        <c:dLbls>
          <c:showLegendKey val="0"/>
          <c:showVal val="0"/>
          <c:showCatName val="0"/>
          <c:showSerName val="0"/>
          <c:showPercent val="0"/>
          <c:showBubbleSize val="0"/>
        </c:dLbls>
        <c:gapWidth val="75"/>
        <c:axId val="324509864"/>
        <c:axId val="324510256"/>
      </c:barChart>
      <c:catAx>
        <c:axId val="324509864"/>
        <c:scaling>
          <c:orientation val="minMax"/>
        </c:scaling>
        <c:delete val="0"/>
        <c:axPos val="b"/>
        <c:numFmt formatCode="General" sourceLinked="0"/>
        <c:majorTickMark val="none"/>
        <c:minorTickMark val="none"/>
        <c:tickLblPos val="nextTo"/>
        <c:txPr>
          <a:bodyPr rot="0" vert="horz"/>
          <a:lstStyle/>
          <a:p>
            <a:pPr>
              <a:defRPr/>
            </a:pPr>
            <a:endParaRPr lang="es-CR"/>
          </a:p>
        </c:txPr>
        <c:crossAx val="324510256"/>
        <c:crosses val="autoZero"/>
        <c:auto val="1"/>
        <c:lblAlgn val="ctr"/>
        <c:lblOffset val="100"/>
        <c:noMultiLvlLbl val="0"/>
      </c:catAx>
      <c:valAx>
        <c:axId val="324510256"/>
        <c:scaling>
          <c:orientation val="minMax"/>
        </c:scaling>
        <c:delete val="0"/>
        <c:axPos val="l"/>
        <c:majorGridlines/>
        <c:numFmt formatCode="#,##0" sourceLinked="0"/>
        <c:majorTickMark val="none"/>
        <c:minorTickMark val="none"/>
        <c:tickLblPos val="nextTo"/>
        <c:spPr>
          <a:ln w="9525">
            <a:noFill/>
          </a:ln>
        </c:spPr>
        <c:crossAx val="324509864"/>
        <c:crosses val="autoZero"/>
        <c:crossBetween val="between"/>
      </c:valAx>
    </c:plotArea>
    <c:legend>
      <c:legendPos val="b"/>
      <c:layout/>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CR" sz="1400"/>
              <a:t>CNREE: Indicadores de Resultado</a:t>
            </a:r>
            <a:r>
              <a:rPr lang="es-CR" sz="1400" baseline="0"/>
              <a:t> 2013</a:t>
            </a:r>
            <a:endParaRPr lang="es-CR" sz="1400"/>
          </a:p>
        </c:rich>
      </c:tx>
      <c:layout/>
      <c:overlay val="0"/>
    </c:title>
    <c:autoTitleDeleted val="0"/>
    <c:plotArea>
      <c:layout/>
      <c:barChart>
        <c:barDir val="col"/>
        <c:grouping val="clustered"/>
        <c:varyColors val="0"/>
        <c:ser>
          <c:idx val="0"/>
          <c:order val="0"/>
          <c:tx>
            <c:strRef>
              <c:f>Anual!$A$44</c:f>
              <c:strCache>
                <c:ptCount val="1"/>
                <c:pt idx="0">
                  <c:v>Índice efectividad en beneficiarios (IEB)</c:v>
                </c:pt>
              </c:strCache>
            </c:strRef>
          </c:tx>
          <c:invertIfNegative val="0"/>
          <c:cat>
            <c:strRef>
              <c:f>(Anual!$B$5,Anual!$C$5,Anual!$E$5)</c:f>
              <c:strCache>
                <c:ptCount val="3"/>
                <c:pt idx="0">
                  <c:v>Total Programa</c:v>
                </c:pt>
                <c:pt idx="1">
                  <c:v>Servicios</c:v>
                </c:pt>
                <c:pt idx="2">
                  <c:v>Alternat. Residenciales</c:v>
                </c:pt>
              </c:strCache>
            </c:strRef>
          </c:cat>
          <c:val>
            <c:numRef>
              <c:f>(Anual!$B$44:$C$44,Anual!$E$44)</c:f>
              <c:numCache>
                <c:formatCode>#,##0.00</c:formatCode>
                <c:ptCount val="3"/>
                <c:pt idx="0">
                  <c:v>100.0280662363177</c:v>
                </c:pt>
                <c:pt idx="1">
                  <c:v>100.77339520494972</c:v>
                </c:pt>
                <c:pt idx="2">
                  <c:v>98.055271238485147</c:v>
                </c:pt>
              </c:numCache>
            </c:numRef>
          </c:val>
        </c:ser>
        <c:ser>
          <c:idx val="1"/>
          <c:order val="1"/>
          <c:tx>
            <c:strRef>
              <c:f>Anual!$A$45</c:f>
              <c:strCache>
                <c:ptCount val="1"/>
                <c:pt idx="0">
                  <c:v>Índice efectividad en gasto (IEG) </c:v>
                </c:pt>
              </c:strCache>
            </c:strRef>
          </c:tx>
          <c:invertIfNegative val="0"/>
          <c:cat>
            <c:strRef>
              <c:f>(Anual!$B$5,Anual!$C$5,Anual!$E$5)</c:f>
              <c:strCache>
                <c:ptCount val="3"/>
                <c:pt idx="0">
                  <c:v>Total Programa</c:v>
                </c:pt>
                <c:pt idx="1">
                  <c:v>Servicios</c:v>
                </c:pt>
                <c:pt idx="2">
                  <c:v>Alternat. Residenciales</c:v>
                </c:pt>
              </c:strCache>
            </c:strRef>
          </c:cat>
          <c:val>
            <c:numRef>
              <c:f>(Anual!$B$45:$C$45,Anual!$E$45)</c:f>
              <c:numCache>
                <c:formatCode>#,##0.00</c:formatCode>
                <c:ptCount val="3"/>
                <c:pt idx="0">
                  <c:v>101.8226448879072</c:v>
                </c:pt>
                <c:pt idx="1">
                  <c:v>100.31107027385538</c:v>
                </c:pt>
                <c:pt idx="2">
                  <c:v>102.54012737587988</c:v>
                </c:pt>
              </c:numCache>
            </c:numRef>
          </c:val>
        </c:ser>
        <c:ser>
          <c:idx val="2"/>
          <c:order val="2"/>
          <c:tx>
            <c:strRef>
              <c:f>Anual!$A$46</c:f>
              <c:strCache>
                <c:ptCount val="1"/>
                <c:pt idx="0">
                  <c:v>Índice efectividad total (IET)</c:v>
                </c:pt>
              </c:strCache>
            </c:strRef>
          </c:tx>
          <c:invertIfNegative val="0"/>
          <c:cat>
            <c:strRef>
              <c:f>(Anual!$B$5,Anual!$C$5,Anual!$E$5)</c:f>
              <c:strCache>
                <c:ptCount val="3"/>
                <c:pt idx="0">
                  <c:v>Total Programa</c:v>
                </c:pt>
                <c:pt idx="1">
                  <c:v>Servicios</c:v>
                </c:pt>
                <c:pt idx="2">
                  <c:v>Alternat. Residenciales</c:v>
                </c:pt>
              </c:strCache>
            </c:strRef>
          </c:cat>
          <c:val>
            <c:numRef>
              <c:f>(Anual!$B$46:$C$46,Anual!$E$46)</c:f>
              <c:numCache>
                <c:formatCode>#,##0.00</c:formatCode>
                <c:ptCount val="3"/>
                <c:pt idx="0">
                  <c:v>100.92535556211246</c:v>
                </c:pt>
                <c:pt idx="1">
                  <c:v>100.54223273940255</c:v>
                </c:pt>
                <c:pt idx="2">
                  <c:v>100.29769930718251</c:v>
                </c:pt>
              </c:numCache>
            </c:numRef>
          </c:val>
        </c:ser>
        <c:dLbls>
          <c:showLegendKey val="0"/>
          <c:showVal val="0"/>
          <c:showCatName val="0"/>
          <c:showSerName val="0"/>
          <c:showPercent val="0"/>
          <c:showBubbleSize val="0"/>
        </c:dLbls>
        <c:gapWidth val="150"/>
        <c:axId val="324511040"/>
        <c:axId val="324511432"/>
      </c:barChart>
      <c:catAx>
        <c:axId val="324511040"/>
        <c:scaling>
          <c:orientation val="minMax"/>
        </c:scaling>
        <c:delete val="0"/>
        <c:axPos val="b"/>
        <c:numFmt formatCode="General" sourceLinked="0"/>
        <c:majorTickMark val="none"/>
        <c:minorTickMark val="none"/>
        <c:tickLblPos val="nextTo"/>
        <c:txPr>
          <a:bodyPr rot="0" vert="horz"/>
          <a:lstStyle/>
          <a:p>
            <a:pPr>
              <a:defRPr/>
            </a:pPr>
            <a:endParaRPr lang="es-CR"/>
          </a:p>
        </c:txPr>
        <c:crossAx val="324511432"/>
        <c:crosses val="autoZero"/>
        <c:auto val="1"/>
        <c:lblAlgn val="ctr"/>
        <c:lblOffset val="100"/>
        <c:noMultiLvlLbl val="0"/>
      </c:catAx>
      <c:valAx>
        <c:axId val="324511432"/>
        <c:scaling>
          <c:orientation val="minMax"/>
          <c:min val="0"/>
        </c:scaling>
        <c:delete val="0"/>
        <c:axPos val="l"/>
        <c:majorGridlines/>
        <c:numFmt formatCode="#,##0" sourceLinked="0"/>
        <c:majorTickMark val="none"/>
        <c:minorTickMark val="none"/>
        <c:tickLblPos val="nextTo"/>
        <c:crossAx val="324511040"/>
        <c:crosses val="autoZero"/>
        <c:crossBetween val="between"/>
      </c:valAx>
    </c:plotArea>
    <c:legend>
      <c:legendPos val="r"/>
      <c:layout/>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CR" sz="1400"/>
              <a:t>CNREE: Indicadores de Avance 2013</a:t>
            </a:r>
          </a:p>
        </c:rich>
      </c:tx>
      <c:layout/>
      <c:overlay val="0"/>
    </c:title>
    <c:autoTitleDeleted val="0"/>
    <c:plotArea>
      <c:layout/>
      <c:barChart>
        <c:barDir val="col"/>
        <c:grouping val="clustered"/>
        <c:varyColors val="0"/>
        <c:ser>
          <c:idx val="0"/>
          <c:order val="0"/>
          <c:tx>
            <c:strRef>
              <c:f>Anual!$A$49</c:f>
              <c:strCache>
                <c:ptCount val="1"/>
                <c:pt idx="0">
                  <c:v>Índice avance beneficiarios (IAB) </c:v>
                </c:pt>
              </c:strCache>
            </c:strRef>
          </c:tx>
          <c:invertIfNegative val="0"/>
          <c:cat>
            <c:strRef>
              <c:f>(Anual!$B$5,Anual!$C$5,Anual!$E$5)</c:f>
              <c:strCache>
                <c:ptCount val="3"/>
                <c:pt idx="0">
                  <c:v>Total Programa</c:v>
                </c:pt>
                <c:pt idx="1">
                  <c:v>Servicios</c:v>
                </c:pt>
                <c:pt idx="2">
                  <c:v>Alternat. Residenciales</c:v>
                </c:pt>
              </c:strCache>
            </c:strRef>
          </c:cat>
          <c:val>
            <c:numRef>
              <c:f>(Anual!$B$49:$C$49,Anual!$E$49)</c:f>
              <c:numCache>
                <c:formatCode>#,##0.00</c:formatCode>
                <c:ptCount val="3"/>
                <c:pt idx="0">
                  <c:v>100.0280662363177</c:v>
                </c:pt>
                <c:pt idx="1">
                  <c:v>100.77339520494972</c:v>
                </c:pt>
                <c:pt idx="2">
                  <c:v>98.055271238485147</c:v>
                </c:pt>
              </c:numCache>
            </c:numRef>
          </c:val>
        </c:ser>
        <c:ser>
          <c:idx val="1"/>
          <c:order val="1"/>
          <c:tx>
            <c:strRef>
              <c:f>Anual!$A$50</c:f>
              <c:strCache>
                <c:ptCount val="1"/>
                <c:pt idx="0">
                  <c:v>Índice avance gasto (IAG)</c:v>
                </c:pt>
              </c:strCache>
            </c:strRef>
          </c:tx>
          <c:invertIfNegative val="0"/>
          <c:cat>
            <c:strRef>
              <c:f>(Anual!$B$5,Anual!$C$5,Anual!$E$5)</c:f>
              <c:strCache>
                <c:ptCount val="3"/>
                <c:pt idx="0">
                  <c:v>Total Programa</c:v>
                </c:pt>
                <c:pt idx="1">
                  <c:v>Servicios</c:v>
                </c:pt>
                <c:pt idx="2">
                  <c:v>Alternat. Residenciales</c:v>
                </c:pt>
              </c:strCache>
            </c:strRef>
          </c:cat>
          <c:val>
            <c:numRef>
              <c:f>(Anual!$B$50:$C$50,Anual!$E$50)</c:f>
              <c:numCache>
                <c:formatCode>#,##0.00</c:formatCode>
                <c:ptCount val="3"/>
                <c:pt idx="0">
                  <c:v>101.8226448879072</c:v>
                </c:pt>
                <c:pt idx="1">
                  <c:v>100.31107027385538</c:v>
                </c:pt>
                <c:pt idx="2">
                  <c:v>102.54012737587988</c:v>
                </c:pt>
              </c:numCache>
            </c:numRef>
          </c:val>
        </c:ser>
        <c:ser>
          <c:idx val="2"/>
          <c:order val="2"/>
          <c:tx>
            <c:strRef>
              <c:f>Anual!$A$51</c:f>
              <c:strCache>
                <c:ptCount val="1"/>
                <c:pt idx="0">
                  <c:v>Índice avance total (IAT) </c:v>
                </c:pt>
              </c:strCache>
            </c:strRef>
          </c:tx>
          <c:invertIfNegative val="0"/>
          <c:cat>
            <c:strRef>
              <c:f>(Anual!$B$5,Anual!$C$5,Anual!$E$5)</c:f>
              <c:strCache>
                <c:ptCount val="3"/>
                <c:pt idx="0">
                  <c:v>Total Programa</c:v>
                </c:pt>
                <c:pt idx="1">
                  <c:v>Servicios</c:v>
                </c:pt>
                <c:pt idx="2">
                  <c:v>Alternat. Residenciales</c:v>
                </c:pt>
              </c:strCache>
            </c:strRef>
          </c:cat>
          <c:val>
            <c:numRef>
              <c:f>(Anual!$B$51:$C$51,Anual!$E$51)</c:f>
              <c:numCache>
                <c:formatCode>#,##0.00</c:formatCode>
                <c:ptCount val="3"/>
                <c:pt idx="0">
                  <c:v>100.92535556211246</c:v>
                </c:pt>
                <c:pt idx="1">
                  <c:v>100.54223273940255</c:v>
                </c:pt>
                <c:pt idx="2">
                  <c:v>100.29769930718251</c:v>
                </c:pt>
              </c:numCache>
            </c:numRef>
          </c:val>
        </c:ser>
        <c:dLbls>
          <c:showLegendKey val="0"/>
          <c:showVal val="0"/>
          <c:showCatName val="0"/>
          <c:showSerName val="0"/>
          <c:showPercent val="0"/>
          <c:showBubbleSize val="0"/>
        </c:dLbls>
        <c:gapWidth val="150"/>
        <c:axId val="324512216"/>
        <c:axId val="324512608"/>
      </c:barChart>
      <c:catAx>
        <c:axId val="324512216"/>
        <c:scaling>
          <c:orientation val="minMax"/>
        </c:scaling>
        <c:delete val="0"/>
        <c:axPos val="b"/>
        <c:numFmt formatCode="General" sourceLinked="0"/>
        <c:majorTickMark val="none"/>
        <c:minorTickMark val="none"/>
        <c:tickLblPos val="nextTo"/>
        <c:crossAx val="324512608"/>
        <c:crosses val="autoZero"/>
        <c:auto val="1"/>
        <c:lblAlgn val="ctr"/>
        <c:lblOffset val="100"/>
        <c:noMultiLvlLbl val="0"/>
      </c:catAx>
      <c:valAx>
        <c:axId val="324512608"/>
        <c:scaling>
          <c:orientation val="minMax"/>
          <c:min val="0"/>
        </c:scaling>
        <c:delete val="0"/>
        <c:axPos val="l"/>
        <c:majorGridlines/>
        <c:numFmt formatCode="#,##0" sourceLinked="0"/>
        <c:majorTickMark val="none"/>
        <c:minorTickMark val="none"/>
        <c:tickLblPos val="nextTo"/>
        <c:crossAx val="324512216"/>
        <c:crosses val="autoZero"/>
        <c:crossBetween val="between"/>
        <c:majorUnit val="25"/>
      </c:valAx>
    </c:plotArea>
    <c:legend>
      <c:legendPos val="r"/>
      <c:layout/>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CR" sz="1400"/>
              <a:t>CNREE:</a:t>
            </a:r>
            <a:r>
              <a:rPr lang="es-CR" sz="1400" baseline="0"/>
              <a:t> Indicadores de Expansión 2013</a:t>
            </a:r>
            <a:endParaRPr lang="es-CR" sz="1400"/>
          </a:p>
        </c:rich>
      </c:tx>
      <c:layout/>
      <c:overlay val="0"/>
    </c:title>
    <c:autoTitleDeleted val="0"/>
    <c:plotArea>
      <c:layout/>
      <c:barChart>
        <c:barDir val="col"/>
        <c:grouping val="clustered"/>
        <c:varyColors val="0"/>
        <c:ser>
          <c:idx val="0"/>
          <c:order val="0"/>
          <c:tx>
            <c:strRef>
              <c:f>Anual!$A$57</c:f>
              <c:strCache>
                <c:ptCount val="1"/>
                <c:pt idx="0">
                  <c:v>Índice de crecimiento beneficiarios (ICB) </c:v>
                </c:pt>
              </c:strCache>
            </c:strRef>
          </c:tx>
          <c:invertIfNegative val="0"/>
          <c:cat>
            <c:strRef>
              <c:f>(Anual!$B$5,Anual!$C$5,Anual!$E$5)</c:f>
              <c:strCache>
                <c:ptCount val="3"/>
                <c:pt idx="0">
                  <c:v>Total Programa</c:v>
                </c:pt>
                <c:pt idx="1">
                  <c:v>Servicios</c:v>
                </c:pt>
                <c:pt idx="2">
                  <c:v>Alternat. Residenciales</c:v>
                </c:pt>
              </c:strCache>
            </c:strRef>
          </c:cat>
          <c:val>
            <c:numRef>
              <c:f>(Anual!$B$57:$C$57,Anual!$E$57)</c:f>
              <c:numCache>
                <c:formatCode>#,##0.00</c:formatCode>
                <c:ptCount val="3"/>
                <c:pt idx="0">
                  <c:v>-10.966774918810895</c:v>
                </c:pt>
                <c:pt idx="1">
                  <c:v>-10.16890727335401</c:v>
                </c:pt>
                <c:pt idx="2">
                  <c:v>-13.067150635208712</c:v>
                </c:pt>
              </c:numCache>
            </c:numRef>
          </c:val>
        </c:ser>
        <c:ser>
          <c:idx val="1"/>
          <c:order val="1"/>
          <c:tx>
            <c:strRef>
              <c:f>Anual!$A$58</c:f>
              <c:strCache>
                <c:ptCount val="1"/>
                <c:pt idx="0">
                  <c:v>Índice de crecimiento del gasto real (ICGR) </c:v>
                </c:pt>
              </c:strCache>
            </c:strRef>
          </c:tx>
          <c:invertIfNegative val="0"/>
          <c:cat>
            <c:strRef>
              <c:f>(Anual!$B$5,Anual!$C$5,Anual!$E$5)</c:f>
              <c:strCache>
                <c:ptCount val="3"/>
                <c:pt idx="0">
                  <c:v>Total Programa</c:v>
                </c:pt>
                <c:pt idx="1">
                  <c:v>Servicios</c:v>
                </c:pt>
                <c:pt idx="2">
                  <c:v>Alternat. Residenciales</c:v>
                </c:pt>
              </c:strCache>
            </c:strRef>
          </c:cat>
          <c:val>
            <c:numRef>
              <c:f>(Anual!$B$58:$C$58,Anual!$E$58)</c:f>
              <c:numCache>
                <c:formatCode>#,##0.00</c:formatCode>
                <c:ptCount val="3"/>
                <c:pt idx="0">
                  <c:v>1.2212641543202674</c:v>
                </c:pt>
                <c:pt idx="1">
                  <c:v>-5.3712343324858409</c:v>
                </c:pt>
                <c:pt idx="2">
                  <c:v>4.6051576796216631</c:v>
                </c:pt>
              </c:numCache>
            </c:numRef>
          </c:val>
        </c:ser>
        <c:ser>
          <c:idx val="2"/>
          <c:order val="2"/>
          <c:tx>
            <c:strRef>
              <c:f>Anual!$A$59</c:f>
              <c:strCache>
                <c:ptCount val="1"/>
                <c:pt idx="0">
                  <c:v>Índice de crecimiento del gasto real por beneficiario (ICGRB) </c:v>
                </c:pt>
              </c:strCache>
            </c:strRef>
          </c:tx>
          <c:invertIfNegative val="0"/>
          <c:cat>
            <c:strRef>
              <c:f>(Anual!$B$5,Anual!$C$5,Anual!$E$5)</c:f>
              <c:strCache>
                <c:ptCount val="3"/>
                <c:pt idx="0">
                  <c:v>Total Programa</c:v>
                </c:pt>
                <c:pt idx="1">
                  <c:v>Servicios</c:v>
                </c:pt>
                <c:pt idx="2">
                  <c:v>Alternat. Residenciales</c:v>
                </c:pt>
              </c:strCache>
            </c:strRef>
          </c:cat>
          <c:val>
            <c:numRef>
              <c:f>(Anual!$B$59:$C$59,Anual!$E$59)</c:f>
              <c:numCache>
                <c:formatCode>#,##0.00</c:formatCode>
                <c:ptCount val="3"/>
                <c:pt idx="0">
                  <c:v>13.689315490949493</c:v>
                </c:pt>
                <c:pt idx="1">
                  <c:v>5.3407709905827216</c:v>
                </c:pt>
                <c:pt idx="2">
                  <c:v>20.32868868783202</c:v>
                </c:pt>
              </c:numCache>
            </c:numRef>
          </c:val>
        </c:ser>
        <c:dLbls>
          <c:showLegendKey val="0"/>
          <c:showVal val="0"/>
          <c:showCatName val="0"/>
          <c:showSerName val="0"/>
          <c:showPercent val="0"/>
          <c:showBubbleSize val="0"/>
        </c:dLbls>
        <c:gapWidth val="75"/>
        <c:axId val="402501824"/>
        <c:axId val="402502216"/>
      </c:barChart>
      <c:catAx>
        <c:axId val="402501824"/>
        <c:scaling>
          <c:orientation val="minMax"/>
        </c:scaling>
        <c:delete val="0"/>
        <c:axPos val="b"/>
        <c:numFmt formatCode="General" sourceLinked="0"/>
        <c:majorTickMark val="none"/>
        <c:minorTickMark val="none"/>
        <c:tickLblPos val="nextTo"/>
        <c:crossAx val="402502216"/>
        <c:crosses val="autoZero"/>
        <c:auto val="1"/>
        <c:lblAlgn val="ctr"/>
        <c:lblOffset val="800"/>
        <c:noMultiLvlLbl val="0"/>
      </c:catAx>
      <c:valAx>
        <c:axId val="402502216"/>
        <c:scaling>
          <c:orientation val="minMax"/>
        </c:scaling>
        <c:delete val="0"/>
        <c:axPos val="l"/>
        <c:majorGridlines/>
        <c:numFmt formatCode="#,##0" sourceLinked="0"/>
        <c:majorTickMark val="none"/>
        <c:minorTickMark val="none"/>
        <c:tickLblPos val="nextTo"/>
        <c:spPr>
          <a:ln w="9525">
            <a:noFill/>
          </a:ln>
        </c:spPr>
        <c:crossAx val="402501824"/>
        <c:crosses val="autoZero"/>
        <c:crossBetween val="between"/>
      </c:valAx>
    </c:plotArea>
    <c:legend>
      <c:legendPos val="b"/>
      <c:layout/>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sz="1400"/>
              <a:t>CNREE: Indicadores de Gasto Medio 2013</a:t>
            </a:r>
          </a:p>
        </c:rich>
      </c:tx>
      <c:layout/>
      <c:overlay val="0"/>
    </c:title>
    <c:autoTitleDeleted val="0"/>
    <c:plotArea>
      <c:layout/>
      <c:barChart>
        <c:barDir val="col"/>
        <c:grouping val="clustered"/>
        <c:varyColors val="0"/>
        <c:ser>
          <c:idx val="2"/>
          <c:order val="0"/>
          <c:tx>
            <c:strRef>
              <c:f>Anual!$A$65</c:f>
              <c:strCache>
                <c:ptCount val="1"/>
                <c:pt idx="0">
                  <c:v>Gasto programado mensual por beneficiario (GPB) </c:v>
                </c:pt>
              </c:strCache>
            </c:strRef>
          </c:tx>
          <c:invertIfNegative val="0"/>
          <c:cat>
            <c:strRef>
              <c:f>(Anual!$B$5,Anual!$C$5,Anual!$E$5)</c:f>
              <c:strCache>
                <c:ptCount val="3"/>
                <c:pt idx="0">
                  <c:v>Total Programa</c:v>
                </c:pt>
                <c:pt idx="1">
                  <c:v>Servicios</c:v>
                </c:pt>
                <c:pt idx="2">
                  <c:v>Alternat. Residenciales</c:v>
                </c:pt>
              </c:strCache>
            </c:strRef>
          </c:cat>
          <c:val>
            <c:numRef>
              <c:f>(Anual!$B$65:$C$65,Anual!$E$65)</c:f>
              <c:numCache>
                <c:formatCode>#,##0</c:formatCode>
                <c:ptCount val="3"/>
                <c:pt idx="0">
                  <c:v>94102.769915333527</c:v>
                </c:pt>
                <c:pt idx="1">
                  <c:v>41733.020659963906</c:v>
                </c:pt>
                <c:pt idx="2">
                  <c:v>232719.11748379393</c:v>
                </c:pt>
              </c:numCache>
            </c:numRef>
          </c:val>
        </c:ser>
        <c:ser>
          <c:idx val="3"/>
          <c:order val="1"/>
          <c:tx>
            <c:strRef>
              <c:f>Anual!$A$66</c:f>
              <c:strCache>
                <c:ptCount val="1"/>
                <c:pt idx="0">
                  <c:v>Gasto efectivo mensual por beneficiario (GEB) </c:v>
                </c:pt>
              </c:strCache>
            </c:strRef>
          </c:tx>
          <c:invertIfNegative val="0"/>
          <c:cat>
            <c:strRef>
              <c:f>(Anual!$B$5,Anual!$C$5,Anual!$E$5)</c:f>
              <c:strCache>
                <c:ptCount val="3"/>
                <c:pt idx="0">
                  <c:v>Total Programa</c:v>
                </c:pt>
                <c:pt idx="1">
                  <c:v>Servicios</c:v>
                </c:pt>
                <c:pt idx="2">
                  <c:v>Alternat. Residenciales</c:v>
                </c:pt>
              </c:strCache>
            </c:strRef>
          </c:cat>
          <c:val>
            <c:numRef>
              <c:f>(Anual!$B$66:$C$66,Anual!$E$66)</c:f>
              <c:numCache>
                <c:formatCode>#,##0</c:formatCode>
                <c:ptCount val="3"/>
                <c:pt idx="0">
                  <c:v>95791.044299710062</c:v>
                </c:pt>
                <c:pt idx="1">
                  <c:v>41541.559254284984</c:v>
                </c:pt>
                <c:pt idx="2">
                  <c:v>243363.23430845514</c:v>
                </c:pt>
              </c:numCache>
            </c:numRef>
          </c:val>
        </c:ser>
        <c:dLbls>
          <c:showLegendKey val="0"/>
          <c:showVal val="0"/>
          <c:showCatName val="0"/>
          <c:showSerName val="0"/>
          <c:showPercent val="0"/>
          <c:showBubbleSize val="0"/>
        </c:dLbls>
        <c:gapWidth val="150"/>
        <c:axId val="402503000"/>
        <c:axId val="402503392"/>
      </c:barChart>
      <c:catAx>
        <c:axId val="402503000"/>
        <c:scaling>
          <c:orientation val="minMax"/>
        </c:scaling>
        <c:delete val="0"/>
        <c:axPos val="b"/>
        <c:numFmt formatCode="General" sourceLinked="0"/>
        <c:majorTickMark val="none"/>
        <c:minorTickMark val="none"/>
        <c:tickLblPos val="nextTo"/>
        <c:crossAx val="402503392"/>
        <c:crosses val="autoZero"/>
        <c:auto val="1"/>
        <c:lblAlgn val="ctr"/>
        <c:lblOffset val="100"/>
        <c:noMultiLvlLbl val="0"/>
      </c:catAx>
      <c:valAx>
        <c:axId val="402503392"/>
        <c:scaling>
          <c:orientation val="minMax"/>
        </c:scaling>
        <c:delete val="0"/>
        <c:axPos val="l"/>
        <c:majorGridlines/>
        <c:title>
          <c:tx>
            <c:rich>
              <a:bodyPr/>
              <a:lstStyle/>
              <a:p>
                <a:pPr>
                  <a:defRPr/>
                </a:pPr>
                <a:r>
                  <a:rPr lang="en-US"/>
                  <a:t>Colones Corrientes</a:t>
                </a:r>
              </a:p>
            </c:rich>
          </c:tx>
          <c:layout/>
          <c:overlay val="0"/>
        </c:title>
        <c:numFmt formatCode="#,##0" sourceLinked="0"/>
        <c:majorTickMark val="none"/>
        <c:minorTickMark val="none"/>
        <c:tickLblPos val="nextTo"/>
        <c:crossAx val="402503000"/>
        <c:crosses val="autoZero"/>
        <c:crossBetween val="between"/>
      </c:valAx>
      <c:dTable>
        <c:showHorzBorder val="1"/>
        <c:showVertBorder val="1"/>
        <c:showOutline val="1"/>
        <c:showKeys val="1"/>
      </c:dTable>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CR" sz="1400"/>
              <a:t>CNREE: Indicadores de Giro de</a:t>
            </a:r>
            <a:r>
              <a:rPr lang="es-CR" sz="1400" baseline="0"/>
              <a:t> Recursos 2013</a:t>
            </a:r>
            <a:endParaRPr lang="es-CR" sz="1400"/>
          </a:p>
        </c:rich>
      </c:tx>
      <c:layout/>
      <c:overlay val="0"/>
    </c:title>
    <c:autoTitleDeleted val="0"/>
    <c:plotArea>
      <c:layout/>
      <c:barChart>
        <c:barDir val="col"/>
        <c:grouping val="clustered"/>
        <c:varyColors val="0"/>
        <c:ser>
          <c:idx val="0"/>
          <c:order val="0"/>
          <c:tx>
            <c:strRef>
              <c:f>Anual!$A$69</c:f>
              <c:strCache>
                <c:ptCount val="1"/>
                <c:pt idx="0">
                  <c:v>Índice de giro efectivo (IGE)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Anual!$B$5</c:f>
              <c:strCache>
                <c:ptCount val="1"/>
                <c:pt idx="0">
                  <c:v>Total Programa</c:v>
                </c:pt>
              </c:strCache>
            </c:strRef>
          </c:cat>
          <c:val>
            <c:numRef>
              <c:f>Anual!$B$69</c:f>
              <c:numCache>
                <c:formatCode>#,##0.00</c:formatCode>
                <c:ptCount val="1"/>
                <c:pt idx="0">
                  <c:v>100.00842106335972</c:v>
                </c:pt>
              </c:numCache>
            </c:numRef>
          </c:val>
        </c:ser>
        <c:ser>
          <c:idx val="1"/>
          <c:order val="1"/>
          <c:tx>
            <c:strRef>
              <c:f>Anual!$A$70</c:f>
              <c:strCache>
                <c:ptCount val="1"/>
                <c:pt idx="0">
                  <c:v>Índice de uso de recursos (IUR)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Anual!$B$5</c:f>
              <c:strCache>
                <c:ptCount val="1"/>
                <c:pt idx="0">
                  <c:v>Total Programa</c:v>
                </c:pt>
              </c:strCache>
            </c:strRef>
          </c:cat>
          <c:val>
            <c:numRef>
              <c:f>Anual!$B$70</c:f>
              <c:numCache>
                <c:formatCode>#,##0.00</c:formatCode>
                <c:ptCount val="1"/>
                <c:pt idx="0">
                  <c:v>101.81407106047409</c:v>
                </c:pt>
              </c:numCache>
            </c:numRef>
          </c:val>
        </c:ser>
        <c:dLbls>
          <c:showLegendKey val="0"/>
          <c:showVal val="1"/>
          <c:showCatName val="0"/>
          <c:showSerName val="0"/>
          <c:showPercent val="0"/>
          <c:showBubbleSize val="0"/>
        </c:dLbls>
        <c:gapWidth val="150"/>
        <c:overlap val="-25"/>
        <c:axId val="402504568"/>
        <c:axId val="402504960"/>
      </c:barChart>
      <c:catAx>
        <c:axId val="402504568"/>
        <c:scaling>
          <c:orientation val="minMax"/>
        </c:scaling>
        <c:delete val="0"/>
        <c:axPos val="b"/>
        <c:numFmt formatCode="General" sourceLinked="0"/>
        <c:majorTickMark val="none"/>
        <c:minorTickMark val="none"/>
        <c:tickLblPos val="nextTo"/>
        <c:crossAx val="402504960"/>
        <c:crosses val="autoZero"/>
        <c:auto val="1"/>
        <c:lblAlgn val="ctr"/>
        <c:lblOffset val="100"/>
        <c:noMultiLvlLbl val="0"/>
      </c:catAx>
      <c:valAx>
        <c:axId val="402504960"/>
        <c:scaling>
          <c:orientation val="minMax"/>
          <c:min val="0"/>
        </c:scaling>
        <c:delete val="1"/>
        <c:axPos val="l"/>
        <c:numFmt formatCode="#,##0.0" sourceLinked="0"/>
        <c:majorTickMark val="none"/>
        <c:minorTickMark val="none"/>
        <c:tickLblPos val="none"/>
        <c:crossAx val="402504568"/>
        <c:crosses val="autoZero"/>
        <c:crossBetween val="between"/>
      </c:valAx>
    </c:plotArea>
    <c:legend>
      <c:legendPos val="t"/>
      <c:layout/>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sz="1400"/>
              <a:t>CNREE: Índice de Eficiencia 2013 </a:t>
            </a:r>
            <a:r>
              <a:rPr lang="en-US"/>
              <a:t> </a:t>
            </a:r>
          </a:p>
        </c:rich>
      </c:tx>
      <c:layout/>
      <c:overlay val="0"/>
    </c:title>
    <c:autoTitleDeleted val="0"/>
    <c:plotArea>
      <c:layout/>
      <c:barChart>
        <c:barDir val="col"/>
        <c:grouping val="clustered"/>
        <c:varyColors val="0"/>
        <c:ser>
          <c:idx val="0"/>
          <c:order val="0"/>
          <c:tx>
            <c:strRef>
              <c:f>Anual!$A$64</c:f>
              <c:strCache>
                <c:ptCount val="1"/>
                <c:pt idx="0">
                  <c:v>Índice de eficiencia (IE)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(Anual!$B$5,Anual!$C$5,Anual!$E$5)</c:f>
              <c:strCache>
                <c:ptCount val="3"/>
                <c:pt idx="0">
                  <c:v>Total Programa</c:v>
                </c:pt>
                <c:pt idx="1">
                  <c:v>Servicios</c:v>
                </c:pt>
                <c:pt idx="2">
                  <c:v>Alternat. Residenciales</c:v>
                </c:pt>
              </c:strCache>
            </c:strRef>
          </c:cat>
          <c:val>
            <c:numRef>
              <c:f>(Anual!$B$64:$C$64,Anual!$E$64)</c:f>
              <c:numCache>
                <c:formatCode>#,##0.00</c:formatCode>
                <c:ptCount val="3"/>
                <c:pt idx="0">
                  <c:v>99.1465912342438</c:v>
                </c:pt>
                <c:pt idx="1">
                  <c:v>101.0056230780403</c:v>
                </c:pt>
                <c:pt idx="2">
                  <c:v>95.910921527440863</c:v>
                </c:pt>
              </c:numCache>
            </c:numRef>
          </c:val>
        </c:ser>
        <c:dLbls>
          <c:showLegendKey val="0"/>
          <c:showVal val="1"/>
          <c:showCatName val="0"/>
          <c:showSerName val="0"/>
          <c:showPercent val="0"/>
          <c:showBubbleSize val="0"/>
        </c:dLbls>
        <c:gapWidth val="150"/>
        <c:overlap val="-25"/>
        <c:axId val="402318552"/>
        <c:axId val="402318944"/>
      </c:barChart>
      <c:catAx>
        <c:axId val="402318552"/>
        <c:scaling>
          <c:orientation val="minMax"/>
        </c:scaling>
        <c:delete val="0"/>
        <c:axPos val="b"/>
        <c:numFmt formatCode="General" sourceLinked="0"/>
        <c:majorTickMark val="none"/>
        <c:minorTickMark val="none"/>
        <c:tickLblPos val="nextTo"/>
        <c:crossAx val="402318944"/>
        <c:crosses val="autoZero"/>
        <c:auto val="1"/>
        <c:lblAlgn val="ctr"/>
        <c:lblOffset val="100"/>
        <c:noMultiLvlLbl val="0"/>
      </c:catAx>
      <c:valAx>
        <c:axId val="402318944"/>
        <c:scaling>
          <c:orientation val="minMax"/>
          <c:min val="0"/>
        </c:scaling>
        <c:delete val="1"/>
        <c:axPos val="l"/>
        <c:numFmt formatCode="#,##0" sourceLinked="0"/>
        <c:majorTickMark val="out"/>
        <c:minorTickMark val="none"/>
        <c:tickLblPos val="none"/>
        <c:crossAx val="402318552"/>
        <c:crosses val="autoZero"/>
        <c:crossBetween val="between"/>
      </c:valAx>
    </c:plotArea>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CR" sz="1400"/>
              <a:t>CNREE: Indicadores de Gasto Medio 2013</a:t>
            </a:r>
          </a:p>
        </c:rich>
      </c:tx>
      <c:layout/>
      <c:overlay val="0"/>
    </c:title>
    <c:autoTitleDeleted val="0"/>
    <c:plotArea>
      <c:layout/>
      <c:barChart>
        <c:barDir val="col"/>
        <c:grouping val="clustered"/>
        <c:varyColors val="0"/>
        <c:ser>
          <c:idx val="0"/>
          <c:order val="0"/>
          <c:tx>
            <c:strRef>
              <c:f>Anual!$A$62</c:f>
              <c:strCache>
                <c:ptCount val="1"/>
                <c:pt idx="0">
                  <c:v>Gasto programado anual por beneficiario (GPB) </c:v>
                </c:pt>
              </c:strCache>
            </c:strRef>
          </c:tx>
          <c:invertIfNegative val="0"/>
          <c:cat>
            <c:strRef>
              <c:f>(Anual!$B$5,Anual!$C$5,Anual!$E$5)</c:f>
              <c:strCache>
                <c:ptCount val="3"/>
                <c:pt idx="0">
                  <c:v>Total Programa</c:v>
                </c:pt>
                <c:pt idx="1">
                  <c:v>Servicios</c:v>
                </c:pt>
                <c:pt idx="2">
                  <c:v>Alternat. Residenciales</c:v>
                </c:pt>
              </c:strCache>
            </c:strRef>
          </c:cat>
          <c:val>
            <c:numRef>
              <c:f>(Anual!$B$62:$C$62,Anual!$E$62)</c:f>
              <c:numCache>
                <c:formatCode>#,##0</c:formatCode>
                <c:ptCount val="3"/>
                <c:pt idx="0">
                  <c:v>1129233.2389840023</c:v>
                </c:pt>
                <c:pt idx="1">
                  <c:v>500796.24791956687</c:v>
                </c:pt>
                <c:pt idx="2">
                  <c:v>2792629.4098055274</c:v>
                </c:pt>
              </c:numCache>
            </c:numRef>
          </c:val>
        </c:ser>
        <c:ser>
          <c:idx val="1"/>
          <c:order val="1"/>
          <c:tx>
            <c:strRef>
              <c:f>Anual!$A$63</c:f>
              <c:strCache>
                <c:ptCount val="1"/>
                <c:pt idx="0">
                  <c:v>Gasto efectivo anual por beneficiario (GEB) </c:v>
                </c:pt>
              </c:strCache>
            </c:strRef>
          </c:tx>
          <c:invertIfNegative val="0"/>
          <c:cat>
            <c:strRef>
              <c:f>(Anual!$B$5,Anual!$C$5,Anual!$E$5)</c:f>
              <c:strCache>
                <c:ptCount val="3"/>
                <c:pt idx="0">
                  <c:v>Total Programa</c:v>
                </c:pt>
                <c:pt idx="1">
                  <c:v>Servicios</c:v>
                </c:pt>
                <c:pt idx="2">
                  <c:v>Alternat. Residenciales</c:v>
                </c:pt>
              </c:strCache>
            </c:strRef>
          </c:cat>
          <c:val>
            <c:numRef>
              <c:f>(Anual!$B$63:$C$63,Anual!$E$63)</c:f>
              <c:numCache>
                <c:formatCode>#,##0</c:formatCode>
                <c:ptCount val="3"/>
                <c:pt idx="0">
                  <c:v>1149492.5315965209</c:v>
                </c:pt>
                <c:pt idx="1">
                  <c:v>498498.71105141978</c:v>
                </c:pt>
                <c:pt idx="2">
                  <c:v>2920358.8117014617</c:v>
                </c:pt>
              </c:numCache>
            </c:numRef>
          </c:val>
        </c:ser>
        <c:dLbls>
          <c:showLegendKey val="0"/>
          <c:showVal val="0"/>
          <c:showCatName val="0"/>
          <c:showSerName val="0"/>
          <c:showPercent val="0"/>
          <c:showBubbleSize val="0"/>
        </c:dLbls>
        <c:gapWidth val="75"/>
        <c:axId val="402319728"/>
        <c:axId val="402320120"/>
      </c:barChart>
      <c:catAx>
        <c:axId val="402319728"/>
        <c:scaling>
          <c:orientation val="minMax"/>
        </c:scaling>
        <c:delete val="0"/>
        <c:axPos val="b"/>
        <c:numFmt formatCode="General" sourceLinked="0"/>
        <c:majorTickMark val="none"/>
        <c:minorTickMark val="none"/>
        <c:tickLblPos val="nextTo"/>
        <c:crossAx val="402320120"/>
        <c:crosses val="autoZero"/>
        <c:auto val="1"/>
        <c:lblAlgn val="ctr"/>
        <c:lblOffset val="100"/>
        <c:noMultiLvlLbl val="0"/>
      </c:catAx>
      <c:valAx>
        <c:axId val="402320120"/>
        <c:scaling>
          <c:orientation val="minMax"/>
        </c:scaling>
        <c:delete val="0"/>
        <c:axPos val="l"/>
        <c:majorGridlines/>
        <c:numFmt formatCode="#,##0" sourceLinked="0"/>
        <c:majorTickMark val="none"/>
        <c:minorTickMark val="none"/>
        <c:tickLblPos val="nextTo"/>
        <c:crossAx val="402319728"/>
        <c:crosses val="autoZero"/>
        <c:crossBetween val="between"/>
      </c:valAx>
    </c:plotArea>
    <c:legend>
      <c:legendPos val="b"/>
      <c:layout/>
      <c:overlay val="0"/>
    </c:legend>
    <c:plotVisOnly val="1"/>
    <c:dispBlanksAs val="gap"/>
    <c:showDLblsOverMax val="0"/>
  </c:chart>
  <c:printSettings>
    <c:headerFooter/>
    <c:pageMargins b="0.75000000000000155" l="0.70000000000000062" r="0.70000000000000062" t="0.750000000000001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317501</xdr:colOff>
      <xdr:row>2</xdr:row>
      <xdr:rowOff>136524</xdr:rowOff>
    </xdr:from>
    <xdr:to>
      <xdr:col>11</xdr:col>
      <xdr:colOff>317501</xdr:colOff>
      <xdr:row>17</xdr:row>
      <xdr:rowOff>1057</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328083</xdr:colOff>
      <xdr:row>18</xdr:row>
      <xdr:rowOff>9524</xdr:rowOff>
    </xdr:from>
    <xdr:to>
      <xdr:col>11</xdr:col>
      <xdr:colOff>328083</xdr:colOff>
      <xdr:row>32</xdr:row>
      <xdr:rowOff>85724</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370417</xdr:colOff>
      <xdr:row>32</xdr:row>
      <xdr:rowOff>168274</xdr:rowOff>
    </xdr:from>
    <xdr:to>
      <xdr:col>11</xdr:col>
      <xdr:colOff>370417</xdr:colOff>
      <xdr:row>47</xdr:row>
      <xdr:rowOff>53974</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275166</xdr:colOff>
      <xdr:row>47</xdr:row>
      <xdr:rowOff>178857</xdr:rowOff>
    </xdr:from>
    <xdr:to>
      <xdr:col>14</xdr:col>
      <xdr:colOff>275166</xdr:colOff>
      <xdr:row>62</xdr:row>
      <xdr:rowOff>64557</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243415</xdr:colOff>
      <xdr:row>86</xdr:row>
      <xdr:rowOff>178858</xdr:rowOff>
    </xdr:from>
    <xdr:to>
      <xdr:col>5</xdr:col>
      <xdr:colOff>201083</xdr:colOff>
      <xdr:row>109</xdr:row>
      <xdr:rowOff>148167</xdr:rowOff>
    </xdr:to>
    <xdr:graphicFrame macro="">
      <xdr:nvGraphicFramePr>
        <xdr:cNvPr id="9" name="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412749</xdr:colOff>
      <xdr:row>63</xdr:row>
      <xdr:rowOff>168274</xdr:rowOff>
    </xdr:from>
    <xdr:to>
      <xdr:col>14</xdr:col>
      <xdr:colOff>412749</xdr:colOff>
      <xdr:row>78</xdr:row>
      <xdr:rowOff>32808</xdr:rowOff>
    </xdr:to>
    <xdr:graphicFrame macro="">
      <xdr:nvGraphicFramePr>
        <xdr:cNvPr id="10" name="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539751</xdr:colOff>
      <xdr:row>79</xdr:row>
      <xdr:rowOff>41275</xdr:rowOff>
    </xdr:from>
    <xdr:to>
      <xdr:col>11</xdr:col>
      <xdr:colOff>539751</xdr:colOff>
      <xdr:row>93</xdr:row>
      <xdr:rowOff>117475</xdr:rowOff>
    </xdr:to>
    <xdr:graphicFrame macro="">
      <xdr:nvGraphicFramePr>
        <xdr:cNvPr id="11" name="1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444500</xdr:colOff>
      <xdr:row>110</xdr:row>
      <xdr:rowOff>157691</xdr:rowOff>
    </xdr:from>
    <xdr:to>
      <xdr:col>2</xdr:col>
      <xdr:colOff>550333</xdr:colOff>
      <xdr:row>125</xdr:row>
      <xdr:rowOff>43391</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69"/>
  <sheetViews>
    <sheetView zoomScale="90" zoomScaleNormal="90" workbookViewId="0">
      <pane ySplit="5" topLeftCell="A6" activePane="bottomLeft" state="frozen"/>
      <selection activeCell="G60" sqref="G60"/>
      <selection pane="bottomLeft" activeCell="O180" sqref="O180"/>
    </sheetView>
  </sheetViews>
  <sheetFormatPr baseColWidth="10" defaultRowHeight="15" x14ac:dyDescent="0.25"/>
  <cols>
    <col min="1" max="1" width="50.5703125" style="1" customWidth="1"/>
    <col min="2" max="3" width="15.28515625" style="1" bestFit="1" customWidth="1"/>
    <col min="4" max="4" width="14.140625" style="1" customWidth="1"/>
    <col min="5" max="5" width="21.7109375" style="1" bestFit="1" customWidth="1"/>
    <col min="6" max="7" width="11.42578125" style="1"/>
    <col min="8" max="8" width="12.7109375" style="1" bestFit="1" customWidth="1"/>
    <col min="9" max="16384" width="11.42578125" style="1"/>
  </cols>
  <sheetData>
    <row r="2" spans="1:6" x14ac:dyDescent="0.25">
      <c r="A2" s="15" t="s">
        <v>70</v>
      </c>
      <c r="B2" s="15"/>
      <c r="C2" s="15"/>
      <c r="D2" s="15"/>
      <c r="E2" s="15"/>
    </row>
    <row r="4" spans="1:6" x14ac:dyDescent="0.25">
      <c r="A4" s="12" t="s">
        <v>0</v>
      </c>
      <c r="B4" s="12" t="s">
        <v>131</v>
      </c>
      <c r="C4" s="14" t="s">
        <v>2</v>
      </c>
      <c r="D4" s="14"/>
      <c r="E4" s="14"/>
    </row>
    <row r="5" spans="1:6" ht="15.75" thickBot="1" x14ac:dyDescent="0.3">
      <c r="A5" s="13"/>
      <c r="B5" s="13"/>
      <c r="C5" s="3" t="s">
        <v>4</v>
      </c>
      <c r="D5" s="3" t="s">
        <v>5</v>
      </c>
      <c r="E5" s="3" t="s">
        <v>35</v>
      </c>
      <c r="F5" s="8"/>
    </row>
    <row r="6" spans="1:6" ht="15.75" thickTop="1" x14ac:dyDescent="0.25">
      <c r="F6" s="8"/>
    </row>
    <row r="7" spans="1:6" x14ac:dyDescent="0.25">
      <c r="A7" s="4" t="s">
        <v>6</v>
      </c>
    </row>
    <row r="9" spans="1:6" x14ac:dyDescent="0.25">
      <c r="A9" s="1" t="s">
        <v>7</v>
      </c>
    </row>
    <row r="10" spans="1:6" x14ac:dyDescent="0.25">
      <c r="A10" s="1" t="s">
        <v>46</v>
      </c>
      <c r="B10" s="6">
        <f>SUM(C10:E10)</f>
        <v>2784</v>
      </c>
      <c r="C10" s="7">
        <v>1784</v>
      </c>
      <c r="D10" s="6">
        <v>0</v>
      </c>
      <c r="E10" s="6">
        <f>951+49</f>
        <v>1000</v>
      </c>
    </row>
    <row r="11" spans="1:6" x14ac:dyDescent="0.25">
      <c r="A11" s="1" t="s">
        <v>71</v>
      </c>
      <c r="B11" s="7">
        <f t="shared" ref="B11:B13" si="0">SUM(C11:E11)</f>
        <v>2656</v>
      </c>
      <c r="C11" s="7">
        <v>1695</v>
      </c>
      <c r="D11" s="6">
        <v>0</v>
      </c>
      <c r="E11" s="6">
        <v>961</v>
      </c>
    </row>
    <row r="12" spans="1:6" x14ac:dyDescent="0.25">
      <c r="A12" s="1" t="s">
        <v>72</v>
      </c>
      <c r="B12" s="7">
        <f t="shared" si="0"/>
        <v>2870</v>
      </c>
      <c r="C12" s="7">
        <v>2017</v>
      </c>
      <c r="D12" s="6">
        <v>0</v>
      </c>
      <c r="E12" s="6">
        <f>846+7</f>
        <v>853</v>
      </c>
    </row>
    <row r="13" spans="1:6" x14ac:dyDescent="0.25">
      <c r="A13" s="1" t="s">
        <v>73</v>
      </c>
      <c r="B13" s="6">
        <f t="shared" si="0"/>
        <v>3563</v>
      </c>
      <c r="C13" s="6">
        <v>2586</v>
      </c>
      <c r="D13" s="6">
        <v>0</v>
      </c>
      <c r="E13" s="6">
        <f>943+34</f>
        <v>977</v>
      </c>
    </row>
    <row r="14" spans="1:6" x14ac:dyDescent="0.25">
      <c r="D14" s="6"/>
    </row>
    <row r="15" spans="1:6" x14ac:dyDescent="0.25">
      <c r="A15" s="1" t="s">
        <v>8</v>
      </c>
      <c r="D15" s="6"/>
    </row>
    <row r="16" spans="1:6" x14ac:dyDescent="0.25">
      <c r="A16" s="1" t="s">
        <v>46</v>
      </c>
      <c r="B16" s="7">
        <f t="shared" ref="B16:B19" si="1">SUM(C16:E16)</f>
        <v>820731521</v>
      </c>
      <c r="C16" s="7">
        <v>167319530</v>
      </c>
      <c r="D16" s="6">
        <v>0</v>
      </c>
      <c r="E16" s="7">
        <v>653411991</v>
      </c>
    </row>
    <row r="17" spans="1:5" x14ac:dyDescent="0.25">
      <c r="A17" s="1" t="s">
        <v>71</v>
      </c>
      <c r="B17" s="7">
        <f t="shared" si="1"/>
        <v>830792050.70000005</v>
      </c>
      <c r="C17" s="7">
        <v>161435604.08000001</v>
      </c>
      <c r="D17" s="6">
        <v>0</v>
      </c>
      <c r="E17" s="7">
        <f>641574975+27781471.62</f>
        <v>669356446.62</v>
      </c>
    </row>
    <row r="18" spans="1:5" x14ac:dyDescent="0.25">
      <c r="A18" s="1" t="s">
        <v>72</v>
      </c>
      <c r="B18" s="7">
        <f t="shared" si="1"/>
        <v>786245230</v>
      </c>
      <c r="C18" s="7">
        <v>192587290</v>
      </c>
      <c r="D18" s="6">
        <v>0</v>
      </c>
      <c r="E18" s="7">
        <f>588280803+5377137</f>
        <v>593657940</v>
      </c>
    </row>
    <row r="19" spans="1:5" x14ac:dyDescent="0.25">
      <c r="A19" s="1" t="s">
        <v>73</v>
      </c>
      <c r="B19" s="7">
        <f t="shared" si="1"/>
        <v>4023458030.5</v>
      </c>
      <c r="C19" s="7">
        <v>1295059097.1199999</v>
      </c>
      <c r="D19" s="6">
        <v>0</v>
      </c>
      <c r="E19" s="7">
        <f>2612801740.88+115597192.5</f>
        <v>2728398933.3800001</v>
      </c>
    </row>
    <row r="20" spans="1:5" x14ac:dyDescent="0.25">
      <c r="A20" s="1" t="s">
        <v>74</v>
      </c>
      <c r="B20" s="7">
        <f>B18</f>
        <v>786245230</v>
      </c>
      <c r="C20" s="7">
        <f t="shared" ref="C20:E20" si="2">C18</f>
        <v>192587290</v>
      </c>
      <c r="D20" s="7">
        <f t="shared" si="2"/>
        <v>0</v>
      </c>
      <c r="E20" s="7">
        <f t="shared" si="2"/>
        <v>593657940</v>
      </c>
    </row>
    <row r="21" spans="1:5" x14ac:dyDescent="0.25">
      <c r="B21" s="7"/>
      <c r="C21" s="7"/>
      <c r="D21" s="7"/>
      <c r="E21" s="7"/>
    </row>
    <row r="22" spans="1:5" x14ac:dyDescent="0.25">
      <c r="A22" s="1" t="s">
        <v>9</v>
      </c>
      <c r="B22" s="7"/>
      <c r="C22" s="7"/>
      <c r="D22" s="7"/>
      <c r="E22" s="7"/>
    </row>
    <row r="23" spans="1:5" x14ac:dyDescent="0.25">
      <c r="A23" s="1" t="s">
        <v>71</v>
      </c>
      <c r="B23" s="7">
        <f>B17</f>
        <v>830792050.70000005</v>
      </c>
      <c r="C23" s="7"/>
      <c r="D23" s="7"/>
      <c r="E23" s="7"/>
    </row>
    <row r="24" spans="1:5" x14ac:dyDescent="0.25">
      <c r="A24" s="1" t="s">
        <v>72</v>
      </c>
      <c r="B24" s="7">
        <v>831109908</v>
      </c>
      <c r="C24" s="7"/>
      <c r="D24" s="7"/>
      <c r="E24" s="7"/>
    </row>
    <row r="26" spans="1:5" x14ac:dyDescent="0.25">
      <c r="A26" s="1" t="s">
        <v>10</v>
      </c>
    </row>
    <row r="27" spans="1:5" x14ac:dyDescent="0.25">
      <c r="A27" s="1" t="s">
        <v>47</v>
      </c>
      <c r="B27" s="1">
        <v>1.5037478319333335</v>
      </c>
      <c r="C27" s="1">
        <v>1.5037478319333335</v>
      </c>
      <c r="D27" s="1">
        <v>1.5037478319333335</v>
      </c>
      <c r="E27" s="1">
        <v>1.5037478319333335</v>
      </c>
    </row>
    <row r="28" spans="1:5" x14ac:dyDescent="0.25">
      <c r="A28" s="1" t="s">
        <v>75</v>
      </c>
      <c r="B28" s="1">
        <v>1.5969752303666667</v>
      </c>
      <c r="C28" s="1">
        <v>1.5969752303666667</v>
      </c>
      <c r="D28" s="1">
        <v>1.5969752303666667</v>
      </c>
      <c r="E28" s="1">
        <v>1.5969752303666667</v>
      </c>
    </row>
    <row r="29" spans="1:5" x14ac:dyDescent="0.25">
      <c r="A29" s="1" t="s">
        <v>11</v>
      </c>
      <c r="B29" s="7">
        <f>+C29+E29</f>
        <v>44192</v>
      </c>
      <c r="C29" s="7">
        <v>36433</v>
      </c>
      <c r="D29" s="7"/>
      <c r="E29" s="7">
        <v>7759</v>
      </c>
    </row>
    <row r="31" spans="1:5" x14ac:dyDescent="0.25">
      <c r="A31" s="1" t="s">
        <v>12</v>
      </c>
    </row>
    <row r="32" spans="1:5" x14ac:dyDescent="0.25">
      <c r="A32" s="1" t="s">
        <v>48</v>
      </c>
      <c r="B32" s="1">
        <f>B16/B27</f>
        <v>545790659.5581286</v>
      </c>
      <c r="C32" s="1">
        <f>C16/C27</f>
        <v>111268343.29987441</v>
      </c>
      <c r="D32" s="1">
        <f>D16/D27</f>
        <v>0</v>
      </c>
      <c r="E32" s="1">
        <f>E16/E27</f>
        <v>434522316.25825417</v>
      </c>
    </row>
    <row r="33" spans="1:5" x14ac:dyDescent="0.25">
      <c r="A33" s="1" t="s">
        <v>76</v>
      </c>
      <c r="B33" s="1">
        <f>B18/B28</f>
        <v>492334016.86479354</v>
      </c>
      <c r="C33" s="1">
        <f>C18/C28</f>
        <v>120595038.88221349</v>
      </c>
      <c r="D33" s="1">
        <f>D18/D28</f>
        <v>0</v>
      </c>
      <c r="E33" s="1">
        <f>E18/E28</f>
        <v>371738977.98258007</v>
      </c>
    </row>
    <row r="34" spans="1:5" x14ac:dyDescent="0.25">
      <c r="A34" s="1" t="s">
        <v>49</v>
      </c>
      <c r="B34" s="1">
        <f>B32/B10</f>
        <v>196045.49553093698</v>
      </c>
      <c r="C34" s="1">
        <f>C32/C10</f>
        <v>62370.147589615699</v>
      </c>
      <c r="D34" s="1" t="e">
        <f>D32/D10</f>
        <v>#DIV/0!</v>
      </c>
      <c r="E34" s="1">
        <f>E32/E10</f>
        <v>434522.31625825417</v>
      </c>
    </row>
    <row r="35" spans="1:5" x14ac:dyDescent="0.25">
      <c r="A35" s="1" t="s">
        <v>77</v>
      </c>
      <c r="B35" s="1">
        <f>B33/B12</f>
        <v>171544.95361142632</v>
      </c>
      <c r="C35" s="1">
        <f>C33/C12</f>
        <v>59789.310303526763</v>
      </c>
      <c r="D35" s="1" t="e">
        <f>D33/D12</f>
        <v>#DIV/0!</v>
      </c>
      <c r="E35" s="1">
        <f>E33/E12</f>
        <v>435801.84992096137</v>
      </c>
    </row>
    <row r="37" spans="1:5" x14ac:dyDescent="0.25">
      <c r="A37" s="4" t="s">
        <v>13</v>
      </c>
    </row>
    <row r="39" spans="1:5" x14ac:dyDescent="0.25">
      <c r="A39" s="1" t="s">
        <v>14</v>
      </c>
    </row>
    <row r="40" spans="1:5" x14ac:dyDescent="0.25">
      <c r="A40" s="1" t="s">
        <v>15</v>
      </c>
      <c r="B40" s="1">
        <f>B11/B29*100</f>
        <v>6.0101375814627076</v>
      </c>
      <c r="C40" s="1">
        <f>C11/C29*100</f>
        <v>4.6523755935552931</v>
      </c>
      <c r="D40" s="1" t="e">
        <f>D11/D29*100</f>
        <v>#DIV/0!</v>
      </c>
      <c r="E40" s="1">
        <f>E11/E29*100</f>
        <v>12.3856167031834</v>
      </c>
    </row>
    <row r="41" spans="1:5" x14ac:dyDescent="0.25">
      <c r="A41" s="1" t="s">
        <v>16</v>
      </c>
      <c r="B41" s="1">
        <f>B12/B29*100</f>
        <v>6.4943881245474291</v>
      </c>
      <c r="C41" s="1">
        <f>C12/C29*100</f>
        <v>5.5361897181127002</v>
      </c>
      <c r="D41" s="1" t="e">
        <f>D12/D29*100</f>
        <v>#DIV/0!</v>
      </c>
      <c r="E41" s="1">
        <f>E12/E29*100</f>
        <v>10.993684753189845</v>
      </c>
    </row>
    <row r="43" spans="1:5" x14ac:dyDescent="0.25">
      <c r="A43" s="1" t="s">
        <v>17</v>
      </c>
    </row>
    <row r="44" spans="1:5" x14ac:dyDescent="0.25">
      <c r="A44" s="1" t="s">
        <v>18</v>
      </c>
      <c r="B44" s="1">
        <f>B12/B11*100</f>
        <v>108.05722891566265</v>
      </c>
      <c r="C44" s="1">
        <f>C12/C11*100</f>
        <v>118.99705014749262</v>
      </c>
      <c r="D44" s="1" t="e">
        <f>D12/D11*100</f>
        <v>#DIV/0!</v>
      </c>
      <c r="E44" s="1">
        <f>E12/E11*100</f>
        <v>88.761706555671168</v>
      </c>
    </row>
    <row r="45" spans="1:5" x14ac:dyDescent="0.25">
      <c r="A45" s="1" t="s">
        <v>19</v>
      </c>
      <c r="B45" s="1">
        <f>B18/B17*100</f>
        <v>94.638029978444521</v>
      </c>
      <c r="C45" s="1">
        <f>C18/C17*100</f>
        <v>119.29666389117153</v>
      </c>
      <c r="D45" s="1" t="e">
        <f>D18/D17*100</f>
        <v>#DIV/0!</v>
      </c>
      <c r="E45" s="1">
        <f>E18/E17*100</f>
        <v>88.690852683611382</v>
      </c>
    </row>
    <row r="46" spans="1:5" x14ac:dyDescent="0.25">
      <c r="A46" s="1" t="s">
        <v>20</v>
      </c>
      <c r="B46" s="1">
        <f>AVERAGE(B44:B45)</f>
        <v>101.34762944705358</v>
      </c>
      <c r="C46" s="1">
        <f>AVERAGE(C44:C45)</f>
        <v>119.14685701933207</v>
      </c>
      <c r="D46" s="1" t="e">
        <f>AVERAGE(D44:D45)</f>
        <v>#DIV/0!</v>
      </c>
      <c r="E46" s="1">
        <f>AVERAGE(E44:E45)</f>
        <v>88.726279619641275</v>
      </c>
    </row>
    <row r="48" spans="1:5" x14ac:dyDescent="0.25">
      <c r="A48" s="1" t="s">
        <v>21</v>
      </c>
    </row>
    <row r="49" spans="1:5" x14ac:dyDescent="0.25">
      <c r="A49" s="1" t="s">
        <v>22</v>
      </c>
      <c r="B49" s="1">
        <f>(B12/B13)*100</f>
        <v>80.550098231827121</v>
      </c>
      <c r="C49" s="1">
        <f t="shared" ref="C49:E49" si="3">(C12/C13)*100</f>
        <v>77.996906419180206</v>
      </c>
      <c r="D49" s="1" t="e">
        <f t="shared" si="3"/>
        <v>#DIV/0!</v>
      </c>
      <c r="E49" s="1">
        <f t="shared" si="3"/>
        <v>87.308085977482079</v>
      </c>
    </row>
    <row r="50" spans="1:5" x14ac:dyDescent="0.25">
      <c r="A50" s="1" t="s">
        <v>23</v>
      </c>
      <c r="B50" s="1">
        <f>B18/B19*100</f>
        <v>19.541529302401901</v>
      </c>
      <c r="C50" s="1">
        <f>C18/C19*100</f>
        <v>14.870926773016205</v>
      </c>
      <c r="D50" s="1" t="e">
        <f>D18/D19*100</f>
        <v>#DIV/0!</v>
      </c>
      <c r="E50" s="1">
        <f>E18/E19*100</f>
        <v>21.758472807514391</v>
      </c>
    </row>
    <row r="51" spans="1:5" x14ac:dyDescent="0.25">
      <c r="A51" s="1" t="s">
        <v>24</v>
      </c>
      <c r="B51" s="1">
        <f>(B49+B50)/2</f>
        <v>50.04581376711451</v>
      </c>
      <c r="C51" s="1">
        <f>(C49+C50)/2</f>
        <v>46.433916596098207</v>
      </c>
      <c r="D51" s="1" t="e">
        <f>(D49+D50)/2</f>
        <v>#DIV/0!</v>
      </c>
      <c r="E51" s="1">
        <f>(E49+E50)/2</f>
        <v>54.533279392498237</v>
      </c>
    </row>
    <row r="53" spans="1:5" x14ac:dyDescent="0.25">
      <c r="A53" s="1" t="s">
        <v>37</v>
      </c>
    </row>
    <row r="54" spans="1:5" x14ac:dyDescent="0.25">
      <c r="A54" s="1" t="s">
        <v>25</v>
      </c>
      <c r="B54" s="1">
        <f>B20/B18*100</f>
        <v>100</v>
      </c>
    </row>
    <row r="56" spans="1:5" x14ac:dyDescent="0.25">
      <c r="A56" s="1" t="s">
        <v>26</v>
      </c>
    </row>
    <row r="57" spans="1:5" x14ac:dyDescent="0.25">
      <c r="A57" s="1" t="s">
        <v>27</v>
      </c>
      <c r="B57" s="1">
        <f>((B12/B10)-1)*100</f>
        <v>3.0890804597701216</v>
      </c>
      <c r="C57" s="1">
        <f>((C12/C10)-1)*100</f>
        <v>13.060538116591935</v>
      </c>
      <c r="D57" s="1" t="e">
        <f>((D12/D10)-1)*100</f>
        <v>#DIV/0!</v>
      </c>
      <c r="E57" s="1">
        <f>((E12/E10)-1)*100</f>
        <v>-14.700000000000003</v>
      </c>
    </row>
    <row r="58" spans="1:5" x14ac:dyDescent="0.25">
      <c r="A58" s="1" t="s">
        <v>28</v>
      </c>
      <c r="B58" s="1">
        <f>((B33/B32)-1)*100</f>
        <v>-9.7943491258376429</v>
      </c>
      <c r="C58" s="1">
        <f>((C33/C32)-1)*100</f>
        <v>8.3821645094536166</v>
      </c>
      <c r="D58" s="1" t="e">
        <f>((D33/D32)-1)*100</f>
        <v>#DIV/0!</v>
      </c>
      <c r="E58" s="1">
        <f>((E33/E32)-1)*100</f>
        <v>-14.448817914879985</v>
      </c>
    </row>
    <row r="59" spans="1:5" x14ac:dyDescent="0.25">
      <c r="A59" s="1" t="s">
        <v>29</v>
      </c>
      <c r="B59" s="1">
        <f>((B35/B34)-1)*100</f>
        <v>-12.497375598025084</v>
      </c>
      <c r="C59" s="1">
        <f>((C35/C34)-1)*100</f>
        <v>-4.1379367948114805</v>
      </c>
      <c r="D59" s="1" t="e">
        <f>((D35/D34)-1)*100</f>
        <v>#DIV/0!</v>
      </c>
      <c r="E59" s="1">
        <f>((E35/E34)-1)*100</f>
        <v>0.29446903296601601</v>
      </c>
    </row>
    <row r="61" spans="1:5" x14ac:dyDescent="0.25">
      <c r="A61" s="1" t="s">
        <v>30</v>
      </c>
    </row>
    <row r="62" spans="1:5" x14ac:dyDescent="0.25">
      <c r="A62" s="1" t="s">
        <v>122</v>
      </c>
      <c r="B62" s="7">
        <f t="shared" ref="B62:E63" si="4">B17/B11</f>
        <v>312798.21185993979</v>
      </c>
      <c r="C62" s="7">
        <f t="shared" si="4"/>
        <v>95242.244294985256</v>
      </c>
      <c r="D62" s="7" t="e">
        <f t="shared" si="4"/>
        <v>#DIV/0!</v>
      </c>
      <c r="E62" s="7">
        <f t="shared" si="4"/>
        <v>696520.75610822067</v>
      </c>
    </row>
    <row r="63" spans="1:5" x14ac:dyDescent="0.25">
      <c r="A63" s="1" t="s">
        <v>123</v>
      </c>
      <c r="B63" s="7">
        <f t="shared" si="4"/>
        <v>273953.04181184666</v>
      </c>
      <c r="C63" s="7">
        <f t="shared" si="4"/>
        <v>95482.047595438766</v>
      </c>
      <c r="D63" s="7" t="e">
        <f t="shared" si="4"/>
        <v>#DIV/0!</v>
      </c>
      <c r="E63" s="7">
        <f t="shared" si="4"/>
        <v>695964.75967174675</v>
      </c>
    </row>
    <row r="64" spans="1:5" x14ac:dyDescent="0.25">
      <c r="A64" s="1" t="s">
        <v>31</v>
      </c>
      <c r="B64" s="1">
        <f>(B62/B63)*B46</f>
        <v>115.71821600380297</v>
      </c>
      <c r="C64" s="1">
        <f>(C62/C63)*C46</f>
        <v>118.84761951582819</v>
      </c>
      <c r="D64" s="1" t="e">
        <f>(D62/D63)*D46</f>
        <v>#DIV/0!</v>
      </c>
      <c r="E64" s="1">
        <f>E62/E63*E46</f>
        <v>88.79716179378093</v>
      </c>
    </row>
    <row r="65" spans="1:6" x14ac:dyDescent="0.25">
      <c r="A65" s="1" t="s">
        <v>43</v>
      </c>
      <c r="B65" s="7">
        <f>B17/(B11*3)</f>
        <v>104266.07061997993</v>
      </c>
      <c r="C65" s="7">
        <f t="shared" ref="C65:E65" si="5">C17/(C11*3)</f>
        <v>31747.414764995086</v>
      </c>
      <c r="D65" s="7" t="e">
        <f t="shared" si="5"/>
        <v>#DIV/0!</v>
      </c>
      <c r="E65" s="7">
        <f t="shared" si="5"/>
        <v>232173.58536940688</v>
      </c>
    </row>
    <row r="66" spans="1:6" x14ac:dyDescent="0.25">
      <c r="A66" s="1" t="s">
        <v>44</v>
      </c>
      <c r="B66" s="7">
        <f>B18/(B12*3)</f>
        <v>91317.680603948902</v>
      </c>
      <c r="C66" s="7">
        <f t="shared" ref="C66:E66" si="6">C18/(C12*3)</f>
        <v>31827.349198479591</v>
      </c>
      <c r="D66" s="7" t="e">
        <f t="shared" si="6"/>
        <v>#DIV/0!</v>
      </c>
      <c r="E66" s="7">
        <f t="shared" si="6"/>
        <v>231988.25322391558</v>
      </c>
    </row>
    <row r="68" spans="1:6" x14ac:dyDescent="0.25">
      <c r="A68" s="1" t="s">
        <v>32</v>
      </c>
    </row>
    <row r="69" spans="1:6" x14ac:dyDescent="0.25">
      <c r="A69" s="1" t="s">
        <v>33</v>
      </c>
      <c r="B69" s="1">
        <f>(B24/B23)*100</f>
        <v>100.03825954999594</v>
      </c>
    </row>
    <row r="70" spans="1:6" ht="15.75" thickBot="1" x14ac:dyDescent="0.3">
      <c r="A70" s="5" t="s">
        <v>34</v>
      </c>
      <c r="B70" s="5">
        <f>(B18/B24)*100</f>
        <v>94.601835741801793</v>
      </c>
      <c r="C70" s="5"/>
      <c r="D70" s="5"/>
      <c r="E70" s="5"/>
      <c r="F70" s="5"/>
    </row>
    <row r="71" spans="1:6" ht="15.75" thickTop="1" x14ac:dyDescent="0.25"/>
    <row r="72" spans="1:6" x14ac:dyDescent="0.25">
      <c r="A72" s="1" t="s">
        <v>36</v>
      </c>
    </row>
    <row r="73" spans="1:6" x14ac:dyDescent="0.25">
      <c r="A73" s="1" t="s">
        <v>115</v>
      </c>
    </row>
    <row r="74" spans="1:6" x14ac:dyDescent="0.25">
      <c r="A74" s="1" t="s">
        <v>78</v>
      </c>
    </row>
    <row r="78" spans="1:6" x14ac:dyDescent="0.25">
      <c r="A78" s="1" t="s">
        <v>41</v>
      </c>
    </row>
    <row r="79" spans="1:6" x14ac:dyDescent="0.25">
      <c r="A79" s="1" t="s">
        <v>42</v>
      </c>
    </row>
    <row r="80" spans="1:6" x14ac:dyDescent="0.25">
      <c r="A80" s="1" t="s">
        <v>45</v>
      </c>
    </row>
    <row r="83" spans="1:1" x14ac:dyDescent="0.25">
      <c r="A83" s="1" t="s">
        <v>130</v>
      </c>
    </row>
    <row r="167" spans="10:14" x14ac:dyDescent="0.25">
      <c r="J167" s="10"/>
      <c r="K167" s="10"/>
      <c r="L167" s="10"/>
      <c r="M167" s="10"/>
      <c r="N167" s="10"/>
    </row>
    <row r="168" spans="10:14" x14ac:dyDescent="0.25">
      <c r="J168" s="10"/>
      <c r="K168" s="10"/>
      <c r="L168" s="10"/>
      <c r="M168" s="10"/>
      <c r="N168" s="10"/>
    </row>
    <row r="169" spans="10:14" x14ac:dyDescent="0.25">
      <c r="J169" s="10"/>
      <c r="K169" s="10"/>
      <c r="L169" s="10"/>
      <c r="M169" s="10"/>
      <c r="N169" s="10"/>
    </row>
  </sheetData>
  <mergeCells count="4">
    <mergeCell ref="A4:A5"/>
    <mergeCell ref="C4:E4"/>
    <mergeCell ref="A2:E2"/>
    <mergeCell ref="B4:B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3"/>
  <sheetViews>
    <sheetView topLeftCell="B58" workbookViewId="0">
      <selection activeCell="B65" activeCellId="1" sqref="B62:B63 B65:B66"/>
    </sheetView>
  </sheetViews>
  <sheetFormatPr baseColWidth="10" defaultRowHeight="15" x14ac:dyDescent="0.25"/>
  <cols>
    <col min="1" max="1" width="50.5703125" style="1" customWidth="1"/>
    <col min="2" max="3" width="15.28515625" style="1" bestFit="1" customWidth="1"/>
    <col min="4" max="4" width="13.7109375" style="1" bestFit="1" customWidth="1"/>
    <col min="5" max="5" width="21.85546875" style="1" bestFit="1" customWidth="1"/>
    <col min="6" max="6" width="11.42578125" style="1"/>
    <col min="7" max="7" width="15.28515625" style="1" bestFit="1" customWidth="1"/>
    <col min="8" max="16384" width="11.42578125" style="1"/>
  </cols>
  <sheetData>
    <row r="2" spans="1:5" x14ac:dyDescent="0.25">
      <c r="A2" s="15" t="s">
        <v>79</v>
      </c>
      <c r="B2" s="15"/>
      <c r="C2" s="15"/>
      <c r="D2" s="15"/>
      <c r="E2" s="15"/>
    </row>
    <row r="4" spans="1:5" x14ac:dyDescent="0.25">
      <c r="A4" s="12" t="s">
        <v>0</v>
      </c>
      <c r="B4" s="2" t="s">
        <v>1</v>
      </c>
      <c r="C4" s="14" t="s">
        <v>2</v>
      </c>
      <c r="D4" s="14"/>
      <c r="E4" s="14"/>
    </row>
    <row r="5" spans="1:5" ht="15.75" thickBot="1" x14ac:dyDescent="0.3">
      <c r="A5" s="13"/>
      <c r="B5" s="3" t="s">
        <v>3</v>
      </c>
      <c r="C5" s="3" t="s">
        <v>4</v>
      </c>
      <c r="D5" s="3" t="s">
        <v>5</v>
      </c>
      <c r="E5" s="3" t="s">
        <v>35</v>
      </c>
    </row>
    <row r="6" spans="1:5" ht="15.75" thickTop="1" x14ac:dyDescent="0.25"/>
    <row r="7" spans="1:5" x14ac:dyDescent="0.25">
      <c r="A7" s="4" t="s">
        <v>6</v>
      </c>
    </row>
    <row r="9" spans="1:5" x14ac:dyDescent="0.25">
      <c r="A9" s="1" t="s">
        <v>7</v>
      </c>
    </row>
    <row r="10" spans="1:5" x14ac:dyDescent="0.25">
      <c r="A10" s="1" t="s">
        <v>50</v>
      </c>
      <c r="B10" s="6">
        <f>SUM(C10:E10)</f>
        <v>3699</v>
      </c>
      <c r="C10" s="7">
        <f>1784+891</f>
        <v>2675</v>
      </c>
      <c r="D10" s="7">
        <v>0</v>
      </c>
      <c r="E10" s="6">
        <f>951+49+19+5</f>
        <v>1024</v>
      </c>
    </row>
    <row r="11" spans="1:5" x14ac:dyDescent="0.25">
      <c r="A11" s="1" t="s">
        <v>80</v>
      </c>
      <c r="B11" s="7">
        <f>SUM(C11:E11)</f>
        <v>3504</v>
      </c>
      <c r="C11" s="7">
        <f>1695+843</f>
        <v>2538</v>
      </c>
      <c r="D11" s="7">
        <v>0</v>
      </c>
      <c r="E11" s="6">
        <v>966</v>
      </c>
    </row>
    <row r="12" spans="1:5" x14ac:dyDescent="0.25">
      <c r="A12" s="9" t="s">
        <v>81</v>
      </c>
      <c r="B12" s="7">
        <f>SUM(C12:E12)</f>
        <v>3495</v>
      </c>
      <c r="C12" s="7">
        <f>2017+550</f>
        <v>2567</v>
      </c>
      <c r="D12" s="7">
        <v>0</v>
      </c>
      <c r="E12" s="6">
        <f>853+75</f>
        <v>928</v>
      </c>
    </row>
    <row r="13" spans="1:5" x14ac:dyDescent="0.25">
      <c r="A13" s="1" t="s">
        <v>73</v>
      </c>
      <c r="B13" s="6">
        <f>SUM(C13:E13)</f>
        <v>3563</v>
      </c>
      <c r="C13" s="6">
        <v>2586</v>
      </c>
      <c r="D13" s="6">
        <v>0</v>
      </c>
      <c r="E13" s="6">
        <f>943+34</f>
        <v>977</v>
      </c>
    </row>
    <row r="15" spans="1:5" x14ac:dyDescent="0.25">
      <c r="A15" s="1" t="s">
        <v>8</v>
      </c>
    </row>
    <row r="16" spans="1:5" x14ac:dyDescent="0.25">
      <c r="A16" s="1" t="s">
        <v>50</v>
      </c>
      <c r="B16" s="7">
        <f>SUM(C16:E16)</f>
        <v>974324989</v>
      </c>
      <c r="C16" s="7">
        <v>348193460</v>
      </c>
      <c r="D16" s="7">
        <v>0</v>
      </c>
      <c r="E16" s="7">
        <v>626131529</v>
      </c>
    </row>
    <row r="17" spans="1:5" x14ac:dyDescent="0.25">
      <c r="A17" s="1" t="s">
        <v>80</v>
      </c>
      <c r="B17" s="7">
        <f>SUM(C17:E17)</f>
        <v>1038546316.3499999</v>
      </c>
      <c r="C17" s="7">
        <f>357661497.84</f>
        <v>357661497.83999997</v>
      </c>
      <c r="D17" s="7">
        <v>0</v>
      </c>
      <c r="E17" s="7">
        <f>651612975+29271843.51</f>
        <v>680884818.50999999</v>
      </c>
    </row>
    <row r="18" spans="1:5" x14ac:dyDescent="0.25">
      <c r="A18" s="1" t="s">
        <v>81</v>
      </c>
      <c r="B18" s="7">
        <f>SUM(C18:E18)</f>
        <v>1090550365</v>
      </c>
      <c r="C18" s="7">
        <v>360914550</v>
      </c>
      <c r="D18" s="7">
        <v>0</v>
      </c>
      <c r="E18" s="7">
        <f>702255539+27380276</f>
        <v>729635815</v>
      </c>
    </row>
    <row r="19" spans="1:5" x14ac:dyDescent="0.25">
      <c r="A19" s="1" t="s">
        <v>73</v>
      </c>
      <c r="B19" s="7">
        <f>SUM(C19:E19)</f>
        <v>4023458030.5</v>
      </c>
      <c r="C19" s="7">
        <v>1295059097.1199999</v>
      </c>
      <c r="D19" s="6">
        <v>0</v>
      </c>
      <c r="E19" s="7">
        <f>2612801740.88+115597192.5</f>
        <v>2728398933.3800001</v>
      </c>
    </row>
    <row r="20" spans="1:5" x14ac:dyDescent="0.25">
      <c r="A20" s="1" t="s">
        <v>82</v>
      </c>
      <c r="B20" s="7">
        <f>B18</f>
        <v>1090550365</v>
      </c>
      <c r="C20" s="7">
        <f t="shared" ref="C20:E20" si="0">C18</f>
        <v>360914550</v>
      </c>
      <c r="D20" s="7">
        <f t="shared" si="0"/>
        <v>0</v>
      </c>
      <c r="E20" s="7">
        <f t="shared" si="0"/>
        <v>729635815</v>
      </c>
    </row>
    <row r="21" spans="1:5" x14ac:dyDescent="0.25">
      <c r="B21" s="7"/>
      <c r="C21" s="7"/>
      <c r="D21" s="7"/>
      <c r="E21" s="7"/>
    </row>
    <row r="22" spans="1:5" x14ac:dyDescent="0.25">
      <c r="A22" s="1" t="s">
        <v>9</v>
      </c>
      <c r="B22" s="7"/>
      <c r="C22" s="7"/>
      <c r="D22" s="7"/>
      <c r="E22" s="7"/>
    </row>
    <row r="23" spans="1:5" x14ac:dyDescent="0.25">
      <c r="A23" s="1" t="s">
        <v>80</v>
      </c>
      <c r="B23" s="7">
        <f>B17</f>
        <v>1038546316.3499999</v>
      </c>
      <c r="C23" s="7"/>
      <c r="D23" s="7"/>
      <c r="E23" s="7"/>
    </row>
    <row r="24" spans="1:5" x14ac:dyDescent="0.25">
      <c r="A24" s="1" t="s">
        <v>81</v>
      </c>
      <c r="B24" s="7">
        <v>683951006</v>
      </c>
      <c r="C24" s="7"/>
      <c r="D24" s="7"/>
      <c r="E24" s="7"/>
    </row>
    <row r="26" spans="1:5" x14ac:dyDescent="0.25">
      <c r="A26" s="1" t="s">
        <v>10</v>
      </c>
    </row>
    <row r="27" spans="1:5" x14ac:dyDescent="0.25">
      <c r="A27" s="1" t="s">
        <v>51</v>
      </c>
      <c r="B27" s="1">
        <v>1.5290678841333332</v>
      </c>
      <c r="C27" s="1">
        <v>1.5290678841333332</v>
      </c>
      <c r="D27" s="1">
        <v>1.5290678841333332</v>
      </c>
      <c r="E27" s="1">
        <v>1.5290678841333332</v>
      </c>
    </row>
    <row r="28" spans="1:5" x14ac:dyDescent="0.25">
      <c r="A28" s="1" t="s">
        <v>83</v>
      </c>
      <c r="B28" s="1">
        <v>1.6173</v>
      </c>
      <c r="C28" s="1">
        <v>1.6173</v>
      </c>
      <c r="D28" s="1">
        <v>1.6173</v>
      </c>
      <c r="E28" s="1">
        <v>1.6173</v>
      </c>
    </row>
    <row r="29" spans="1:5" x14ac:dyDescent="0.25">
      <c r="A29" s="1" t="s">
        <v>11</v>
      </c>
      <c r="B29" s="7">
        <f>+C29+E29</f>
        <v>44192</v>
      </c>
      <c r="C29" s="7">
        <v>36433</v>
      </c>
      <c r="D29" s="7"/>
      <c r="E29" s="7">
        <v>7759</v>
      </c>
    </row>
    <row r="31" spans="1:5" x14ac:dyDescent="0.25">
      <c r="A31" s="1" t="s">
        <v>12</v>
      </c>
    </row>
    <row r="32" spans="1:5" x14ac:dyDescent="0.25">
      <c r="A32" s="1" t="s">
        <v>52</v>
      </c>
      <c r="B32" s="1">
        <f>B16/B27</f>
        <v>637201918.31263387</v>
      </c>
      <c r="C32" s="1">
        <f>C16/C27</f>
        <v>227716155.45202169</v>
      </c>
      <c r="D32" s="1">
        <f>D16/D27</f>
        <v>0</v>
      </c>
      <c r="E32" s="1">
        <f>E16/E27</f>
        <v>409485762.86061209</v>
      </c>
    </row>
    <row r="33" spans="1:5" x14ac:dyDescent="0.25">
      <c r="A33" s="1" t="s">
        <v>84</v>
      </c>
      <c r="B33" s="1">
        <f>B18/B28</f>
        <v>674303076.11451185</v>
      </c>
      <c r="C33" s="1">
        <f>C18/C28</f>
        <v>223158690.40994251</v>
      </c>
      <c r="D33" s="1">
        <f>D18/D28</f>
        <v>0</v>
      </c>
      <c r="E33" s="1">
        <f>E18/E28</f>
        <v>451144385.70456934</v>
      </c>
    </row>
    <row r="34" spans="1:5" x14ac:dyDescent="0.25">
      <c r="A34" s="1" t="s">
        <v>53</v>
      </c>
      <c r="B34" s="1">
        <f>B32/B10</f>
        <v>172263.29232566475</v>
      </c>
      <c r="C34" s="1">
        <f>C32/C10</f>
        <v>85127.534748419319</v>
      </c>
      <c r="D34" s="1" t="e">
        <f>D32/D10</f>
        <v>#DIV/0!</v>
      </c>
      <c r="E34" s="1">
        <f>E32/E10</f>
        <v>399888.4402935665</v>
      </c>
    </row>
    <row r="35" spans="1:5" x14ac:dyDescent="0.25">
      <c r="A35" s="1" t="s">
        <v>85</v>
      </c>
      <c r="B35" s="1">
        <f>B33/B12</f>
        <v>192933.64123448121</v>
      </c>
      <c r="C35" s="1">
        <f>C33/C12</f>
        <v>86933.654230597007</v>
      </c>
      <c r="D35" s="1" t="e">
        <f>D33/D12</f>
        <v>#DIV/0!</v>
      </c>
      <c r="E35" s="1">
        <f>E33/E12</f>
        <v>486146.96735406178</v>
      </c>
    </row>
    <row r="37" spans="1:5" x14ac:dyDescent="0.25">
      <c r="A37" s="4" t="s">
        <v>13</v>
      </c>
    </row>
    <row r="39" spans="1:5" x14ac:dyDescent="0.25">
      <c r="A39" s="1" t="s">
        <v>14</v>
      </c>
    </row>
    <row r="40" spans="1:5" x14ac:dyDescent="0.25">
      <c r="A40" s="1" t="s">
        <v>15</v>
      </c>
      <c r="B40" s="1">
        <f>B11/B29*100</f>
        <v>7.9290369297610424</v>
      </c>
      <c r="C40" s="1">
        <f>C11/C29*100</f>
        <v>6.9662119507040323</v>
      </c>
      <c r="D40" s="1" t="e">
        <f>D11/D29*100</f>
        <v>#DIV/0!</v>
      </c>
      <c r="E40" s="1">
        <f>E11/E29*100</f>
        <v>12.450057997164583</v>
      </c>
    </row>
    <row r="41" spans="1:5" x14ac:dyDescent="0.25">
      <c r="A41" s="1" t="s">
        <v>16</v>
      </c>
      <c r="B41" s="1">
        <f>B12/B29*100</f>
        <v>7.9086712527154237</v>
      </c>
      <c r="C41" s="1">
        <f>C12/C29*100</f>
        <v>7.0458101172014382</v>
      </c>
      <c r="D41" s="1" t="e">
        <f>D12/D29*100</f>
        <v>#DIV/0!</v>
      </c>
      <c r="E41" s="1">
        <f>E12/E29*100</f>
        <v>11.96030416290759</v>
      </c>
    </row>
    <row r="43" spans="1:5" x14ac:dyDescent="0.25">
      <c r="A43" s="1" t="s">
        <v>17</v>
      </c>
    </row>
    <row r="44" spans="1:5" x14ac:dyDescent="0.25">
      <c r="A44" s="1" t="s">
        <v>18</v>
      </c>
      <c r="B44" s="1">
        <f>B12/B11*100</f>
        <v>99.743150684931507</v>
      </c>
      <c r="C44" s="1">
        <f>C12/C11*100</f>
        <v>101.14263199369582</v>
      </c>
      <c r="D44" s="1" t="e">
        <f>D12/D11*100</f>
        <v>#DIV/0!</v>
      </c>
      <c r="E44" s="1">
        <f>E12/E11*100</f>
        <v>96.066252587991713</v>
      </c>
    </row>
    <row r="45" spans="1:5" x14ac:dyDescent="0.25">
      <c r="A45" s="1" t="s">
        <v>19</v>
      </c>
      <c r="B45" s="1">
        <f>B18/B17*100</f>
        <v>105.00738848439323</v>
      </c>
      <c r="C45" s="1">
        <f>C18/C17*100</f>
        <v>100.9095337853378</v>
      </c>
      <c r="D45" s="1" t="e">
        <f>D18/D17*100</f>
        <v>#DIV/0!</v>
      </c>
      <c r="E45" s="1">
        <f>E18/E17*100</f>
        <v>107.15994763940886</v>
      </c>
    </row>
    <row r="46" spans="1:5" x14ac:dyDescent="0.25">
      <c r="A46" s="1" t="s">
        <v>20</v>
      </c>
      <c r="B46" s="1">
        <f>AVERAGE(B44:B45)</f>
        <v>102.37526958466236</v>
      </c>
      <c r="C46" s="1">
        <f>AVERAGE(C44:C45)</f>
        <v>101.0260828895168</v>
      </c>
      <c r="D46" s="1" t="e">
        <f>AVERAGE(D44:D45)</f>
        <v>#DIV/0!</v>
      </c>
      <c r="E46" s="1">
        <f>AVERAGE(E44:E45)</f>
        <v>101.61310011370028</v>
      </c>
    </row>
    <row r="48" spans="1:5" x14ac:dyDescent="0.25">
      <c r="A48" s="1" t="s">
        <v>21</v>
      </c>
    </row>
    <row r="49" spans="1:5" x14ac:dyDescent="0.25">
      <c r="A49" s="1" t="s">
        <v>22</v>
      </c>
      <c r="B49" s="1">
        <f>(B12/B13)*100</f>
        <v>98.091495930395737</v>
      </c>
      <c r="C49" s="1">
        <f t="shared" ref="C49:E49" si="1">(C12/C13)*100</f>
        <v>99.265274555297751</v>
      </c>
      <c r="D49" s="1" t="e">
        <f t="shared" si="1"/>
        <v>#DIV/0!</v>
      </c>
      <c r="E49" s="1">
        <f t="shared" si="1"/>
        <v>94.984646878198561</v>
      </c>
    </row>
    <row r="50" spans="1:5" x14ac:dyDescent="0.25">
      <c r="A50" s="1" t="s">
        <v>23</v>
      </c>
      <c r="B50" s="1">
        <f>B18/B19*100</f>
        <v>27.104802802291839</v>
      </c>
      <c r="C50" s="1">
        <f>C18/C19*100</f>
        <v>27.868577642720325</v>
      </c>
      <c r="D50" s="1" t="e">
        <f>D18/D19*100</f>
        <v>#DIV/0!</v>
      </c>
      <c r="E50" s="1">
        <f>E18/E19*100</f>
        <v>26.742270203723884</v>
      </c>
    </row>
    <row r="51" spans="1:5" x14ac:dyDescent="0.25">
      <c r="A51" s="1" t="s">
        <v>24</v>
      </c>
      <c r="B51" s="1">
        <f>(B49+B50)/2</f>
        <v>62.59814936634379</v>
      </c>
      <c r="C51" s="1">
        <f>(C49+C50)/2</f>
        <v>63.566926099009038</v>
      </c>
      <c r="D51" s="1" t="e">
        <f>(D49+D50)/2</f>
        <v>#DIV/0!</v>
      </c>
      <c r="E51" s="1">
        <f>(E49+E50)/2</f>
        <v>60.863458540961219</v>
      </c>
    </row>
    <row r="53" spans="1:5" x14ac:dyDescent="0.25">
      <c r="A53" s="1" t="s">
        <v>38</v>
      </c>
    </row>
    <row r="54" spans="1:5" x14ac:dyDescent="0.25">
      <c r="A54" s="1" t="s">
        <v>25</v>
      </c>
      <c r="B54" s="1">
        <f>B20/B18*100</f>
        <v>100</v>
      </c>
    </row>
    <row r="56" spans="1:5" x14ac:dyDescent="0.25">
      <c r="A56" s="1" t="s">
        <v>26</v>
      </c>
    </row>
    <row r="57" spans="1:5" x14ac:dyDescent="0.25">
      <c r="A57" s="1" t="s">
        <v>27</v>
      </c>
      <c r="B57" s="1">
        <f>((B12/B10)-1)*100</f>
        <v>-5.5150040551500412</v>
      </c>
      <c r="C57" s="1">
        <f>((C12/C10)-1)*100</f>
        <v>-4.0373831775700975</v>
      </c>
      <c r="D57" s="1" t="e">
        <f>((D12/D10)-1)*100</f>
        <v>#DIV/0!</v>
      </c>
      <c r="E57" s="1">
        <f>((E12/E10)-1)*100</f>
        <v>-9.375</v>
      </c>
    </row>
    <row r="58" spans="1:5" x14ac:dyDescent="0.25">
      <c r="A58" s="1" t="s">
        <v>28</v>
      </c>
      <c r="B58" s="1">
        <f>((B33/B32)-1)*100</f>
        <v>5.8225119441142059</v>
      </c>
      <c r="C58" s="1">
        <f>((C33/C32)-1)*100</f>
        <v>-2.0013797585123116</v>
      </c>
      <c r="D58" s="1" t="e">
        <f>((D33/D32)-1)*100</f>
        <v>#DIV/0!</v>
      </c>
      <c r="E58" s="1">
        <f>((E33/E32)-1)*100</f>
        <v>10.173399571437059</v>
      </c>
    </row>
    <row r="59" spans="1:5" x14ac:dyDescent="0.25">
      <c r="A59" s="1" t="s">
        <v>29</v>
      </c>
      <c r="B59" s="1">
        <f>((B35/B34)-1)*100</f>
        <v>11.999276589779239</v>
      </c>
      <c r="C59" s="1">
        <f>((C35/C34)-1)*100</f>
        <v>2.1216630876430109</v>
      </c>
      <c r="D59" s="1" t="e">
        <f>((D35/D34)-1)*100</f>
        <v>#DIV/0!</v>
      </c>
      <c r="E59" s="1">
        <f>((E35/E34)-1)*100</f>
        <v>21.570647802965027</v>
      </c>
    </row>
    <row r="61" spans="1:5" x14ac:dyDescent="0.25">
      <c r="A61" s="1" t="s">
        <v>30</v>
      </c>
    </row>
    <row r="62" spans="1:5" x14ac:dyDescent="0.25">
      <c r="A62" s="1" t="s">
        <v>122</v>
      </c>
      <c r="B62" s="7">
        <f t="shared" ref="B62:E63" si="2">B17/B11</f>
        <v>296388.78891267121</v>
      </c>
      <c r="C62" s="7">
        <f t="shared" si="2"/>
        <v>140922.57598108746</v>
      </c>
      <c r="D62" s="7" t="e">
        <f t="shared" si="2"/>
        <v>#DIV/0!</v>
      </c>
      <c r="E62" s="7">
        <f t="shared" si="2"/>
        <v>704849.70860248443</v>
      </c>
    </row>
    <row r="63" spans="1:5" x14ac:dyDescent="0.25">
      <c r="A63" s="1" t="s">
        <v>123</v>
      </c>
      <c r="B63" s="7">
        <f t="shared" si="2"/>
        <v>312031.57796852646</v>
      </c>
      <c r="C63" s="7">
        <f t="shared" si="2"/>
        <v>140597.79898714452</v>
      </c>
      <c r="D63" s="7" t="e">
        <f t="shared" si="2"/>
        <v>#DIV/0!</v>
      </c>
      <c r="E63" s="7">
        <f t="shared" si="2"/>
        <v>786245.49030172417</v>
      </c>
    </row>
    <row r="64" spans="1:5" x14ac:dyDescent="0.25">
      <c r="A64" s="1" t="s">
        <v>31</v>
      </c>
      <c r="B64" s="1">
        <f>(B62/B63)*B46</f>
        <v>97.242985355369655</v>
      </c>
      <c r="C64" s="1">
        <f>(C62/C63)*C46</f>
        <v>101.25945032305455</v>
      </c>
      <c r="D64" s="1" t="e">
        <f>(D62/D63)*D46</f>
        <v>#DIV/0!</v>
      </c>
      <c r="E64" s="1">
        <f>E62/E63*E46</f>
        <v>91.0936404580859</v>
      </c>
    </row>
    <row r="65" spans="1:6" x14ac:dyDescent="0.25">
      <c r="A65" s="1" t="s">
        <v>43</v>
      </c>
      <c r="B65" s="7">
        <f>B17/(B11*3)</f>
        <v>98796.262970890399</v>
      </c>
      <c r="C65" s="7">
        <f t="shared" ref="C65:E66" si="3">C17/(C11*3)</f>
        <v>46974.191993695822</v>
      </c>
      <c r="D65" s="7" t="e">
        <f t="shared" si="3"/>
        <v>#DIV/0!</v>
      </c>
      <c r="E65" s="7">
        <f t="shared" si="3"/>
        <v>234949.90286749482</v>
      </c>
    </row>
    <row r="66" spans="1:6" x14ac:dyDescent="0.25">
      <c r="A66" s="1" t="s">
        <v>44</v>
      </c>
      <c r="B66" s="7">
        <f>B18/(B12*3)</f>
        <v>104010.52598950882</v>
      </c>
      <c r="C66" s="7">
        <f t="shared" si="3"/>
        <v>46865.932995714844</v>
      </c>
      <c r="D66" s="7" t="e">
        <f t="shared" si="3"/>
        <v>#DIV/0!</v>
      </c>
      <c r="E66" s="7">
        <f t="shared" si="3"/>
        <v>262081.83010057471</v>
      </c>
    </row>
    <row r="68" spans="1:6" x14ac:dyDescent="0.25">
      <c r="A68" s="1" t="s">
        <v>32</v>
      </c>
    </row>
    <row r="69" spans="1:6" x14ac:dyDescent="0.25">
      <c r="A69" s="1" t="s">
        <v>33</v>
      </c>
      <c r="B69" s="1">
        <f>(B24/B23)*100</f>
        <v>65.856572329269341</v>
      </c>
    </row>
    <row r="70" spans="1:6" ht="15.75" thickBot="1" x14ac:dyDescent="0.3">
      <c r="A70" s="5" t="s">
        <v>34</v>
      </c>
      <c r="B70" s="5">
        <f>(B18/B24)*100</f>
        <v>159.44860895489347</v>
      </c>
      <c r="C70" s="5"/>
      <c r="D70" s="5"/>
      <c r="E70" s="5"/>
      <c r="F70" s="5"/>
    </row>
    <row r="71" spans="1:6" ht="15.75" thickTop="1" x14ac:dyDescent="0.25"/>
    <row r="72" spans="1:6" x14ac:dyDescent="0.25">
      <c r="A72" s="1" t="s">
        <v>36</v>
      </c>
    </row>
    <row r="73" spans="1:6" x14ac:dyDescent="0.25">
      <c r="A73" s="1" t="s">
        <v>115</v>
      </c>
    </row>
    <row r="74" spans="1:6" x14ac:dyDescent="0.25">
      <c r="A74" s="1" t="s">
        <v>78</v>
      </c>
    </row>
    <row r="78" spans="1:6" x14ac:dyDescent="0.25">
      <c r="A78" s="1" t="s">
        <v>41</v>
      </c>
    </row>
    <row r="79" spans="1:6" x14ac:dyDescent="0.25">
      <c r="A79" s="1" t="s">
        <v>42</v>
      </c>
    </row>
    <row r="80" spans="1:6" x14ac:dyDescent="0.25">
      <c r="A80" s="1" t="s">
        <v>45</v>
      </c>
    </row>
    <row r="83" spans="1:1" x14ac:dyDescent="0.25">
      <c r="A83" s="1" t="s">
        <v>130</v>
      </c>
    </row>
  </sheetData>
  <mergeCells count="3">
    <mergeCell ref="A2:E2"/>
    <mergeCell ref="A4:A5"/>
    <mergeCell ref="C4:E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3"/>
  <sheetViews>
    <sheetView workbookViewId="0">
      <selection activeCell="C65" activeCellId="3" sqref="B62:B63 B65:B66 C62:E63 C65:E66"/>
    </sheetView>
  </sheetViews>
  <sheetFormatPr baseColWidth="10" defaultRowHeight="15" x14ac:dyDescent="0.25"/>
  <cols>
    <col min="1" max="1" width="50.5703125" style="1" customWidth="1"/>
    <col min="2" max="4" width="15.28515625" style="1" bestFit="1" customWidth="1"/>
    <col min="5" max="5" width="21.85546875" style="1" bestFit="1" customWidth="1"/>
    <col min="6" max="16384" width="11.42578125" style="1"/>
  </cols>
  <sheetData>
    <row r="2" spans="1:5" x14ac:dyDescent="0.25">
      <c r="A2" s="15" t="s">
        <v>86</v>
      </c>
      <c r="B2" s="15"/>
      <c r="C2" s="15"/>
      <c r="D2" s="15"/>
      <c r="E2" s="15"/>
    </row>
    <row r="4" spans="1:5" x14ac:dyDescent="0.25">
      <c r="A4" s="12" t="s">
        <v>0</v>
      </c>
      <c r="B4" s="2" t="s">
        <v>1</v>
      </c>
      <c r="C4" s="14" t="s">
        <v>2</v>
      </c>
      <c r="D4" s="14"/>
      <c r="E4" s="14"/>
    </row>
    <row r="5" spans="1:5" ht="15.75" thickBot="1" x14ac:dyDescent="0.3">
      <c r="A5" s="13"/>
      <c r="B5" s="3" t="s">
        <v>3</v>
      </c>
      <c r="C5" s="3" t="s">
        <v>4</v>
      </c>
      <c r="D5" s="3" t="s">
        <v>5</v>
      </c>
      <c r="E5" s="3" t="s">
        <v>35</v>
      </c>
    </row>
    <row r="6" spans="1:5" ht="15.75" thickTop="1" x14ac:dyDescent="0.25"/>
    <row r="7" spans="1:5" x14ac:dyDescent="0.25">
      <c r="A7" s="4" t="s">
        <v>6</v>
      </c>
    </row>
    <row r="9" spans="1:5" x14ac:dyDescent="0.25">
      <c r="A9" s="1" t="s">
        <v>7</v>
      </c>
    </row>
    <row r="10" spans="1:5" x14ac:dyDescent="0.25">
      <c r="A10" s="1" t="s">
        <v>54</v>
      </c>
      <c r="B10" s="6">
        <f>SUM(C10:E10)</f>
        <v>3952</v>
      </c>
      <c r="C10" s="7">
        <f>1784+891+187</f>
        <v>2862</v>
      </c>
      <c r="D10" s="7">
        <v>0</v>
      </c>
      <c r="E10" s="6">
        <f>951+49+19+5+66</f>
        <v>1090</v>
      </c>
    </row>
    <row r="11" spans="1:5" x14ac:dyDescent="0.25">
      <c r="A11" s="1" t="s">
        <v>87</v>
      </c>
      <c r="B11" s="7">
        <f>SUM(C11:E11)</f>
        <v>3561</v>
      </c>
      <c r="C11" s="7">
        <v>2586</v>
      </c>
      <c r="D11" s="7">
        <v>0</v>
      </c>
      <c r="E11" s="6">
        <v>975</v>
      </c>
    </row>
    <row r="12" spans="1:5" x14ac:dyDescent="0.25">
      <c r="A12" s="1" t="s">
        <v>88</v>
      </c>
      <c r="B12" s="7">
        <f>SUM(C12:E12)</f>
        <v>3539</v>
      </c>
      <c r="C12" s="7">
        <f>2017+550+30</f>
        <v>2597</v>
      </c>
      <c r="D12" s="7">
        <v>0</v>
      </c>
      <c r="E12" s="6">
        <f>853+75+14</f>
        <v>942</v>
      </c>
    </row>
    <row r="13" spans="1:5" x14ac:dyDescent="0.25">
      <c r="A13" s="1" t="s">
        <v>73</v>
      </c>
      <c r="B13" s="6">
        <f>SUM(C13:E13)</f>
        <v>3563</v>
      </c>
      <c r="C13" s="6">
        <v>2586</v>
      </c>
      <c r="D13" s="6">
        <v>0</v>
      </c>
      <c r="E13" s="6">
        <v>977</v>
      </c>
    </row>
    <row r="15" spans="1:5" x14ac:dyDescent="0.25">
      <c r="A15" s="1" t="s">
        <v>8</v>
      </c>
    </row>
    <row r="16" spans="1:5" x14ac:dyDescent="0.25">
      <c r="A16" s="1" t="s">
        <v>54</v>
      </c>
      <c r="B16" s="7">
        <f>SUM(C16:E16)</f>
        <v>976595767</v>
      </c>
      <c r="C16" s="7">
        <v>375510270</v>
      </c>
      <c r="D16" s="7">
        <v>0</v>
      </c>
      <c r="E16" s="7">
        <v>601085497</v>
      </c>
    </row>
    <row r="17" spans="1:5" x14ac:dyDescent="0.25">
      <c r="A17" s="1" t="s">
        <v>87</v>
      </c>
      <c r="B17" s="7">
        <f>SUM(C17:E17)</f>
        <v>1075700016.1100001</v>
      </c>
      <c r="C17" s="7">
        <v>387980997.60000002</v>
      </c>
      <c r="D17" s="7">
        <v>0</v>
      </c>
      <c r="E17" s="7">
        <v>687719018.50999999</v>
      </c>
    </row>
    <row r="18" spans="1:5" x14ac:dyDescent="0.25">
      <c r="A18" s="1" t="s">
        <v>88</v>
      </c>
      <c r="B18" s="7">
        <f>SUM(C18:E18)</f>
        <v>1107958431</v>
      </c>
      <c r="C18" s="7">
        <v>374362800</v>
      </c>
      <c r="D18" s="7">
        <v>0</v>
      </c>
      <c r="E18" s="7">
        <v>733595631</v>
      </c>
    </row>
    <row r="19" spans="1:5" x14ac:dyDescent="0.25">
      <c r="A19" s="1" t="s">
        <v>73</v>
      </c>
      <c r="B19" s="7">
        <f>SUM(C19:E19)</f>
        <v>4023458030.5</v>
      </c>
      <c r="C19" s="7">
        <v>1295059097.1199999</v>
      </c>
      <c r="D19" s="6">
        <v>0</v>
      </c>
      <c r="E19" s="7">
        <f>2612801740.88+115597192.5</f>
        <v>2728398933.3800001</v>
      </c>
    </row>
    <row r="20" spans="1:5" x14ac:dyDescent="0.25">
      <c r="A20" s="1" t="s">
        <v>89</v>
      </c>
      <c r="B20" s="7">
        <f>B18</f>
        <v>1107958431</v>
      </c>
      <c r="C20" s="7">
        <f t="shared" ref="C20:E20" si="0">C18</f>
        <v>374362800</v>
      </c>
      <c r="D20" s="7">
        <f t="shared" si="0"/>
        <v>0</v>
      </c>
      <c r="E20" s="7">
        <f t="shared" si="0"/>
        <v>733595631</v>
      </c>
    </row>
    <row r="21" spans="1:5" x14ac:dyDescent="0.25">
      <c r="B21" s="7"/>
      <c r="C21" s="7"/>
      <c r="D21" s="7"/>
      <c r="E21" s="7"/>
    </row>
    <row r="22" spans="1:5" x14ac:dyDescent="0.25">
      <c r="A22" s="1" t="s">
        <v>9</v>
      </c>
      <c r="B22" s="7"/>
      <c r="C22" s="7"/>
      <c r="D22" s="7"/>
      <c r="E22" s="7"/>
    </row>
    <row r="23" spans="1:5" x14ac:dyDescent="0.25">
      <c r="A23" s="1" t="s">
        <v>87</v>
      </c>
      <c r="B23" s="7">
        <f>B17</f>
        <v>1075700016.1100001</v>
      </c>
      <c r="C23" s="7"/>
      <c r="D23" s="7"/>
      <c r="E23" s="7"/>
    </row>
    <row r="24" spans="1:5" x14ac:dyDescent="0.25">
      <c r="A24" s="1" t="s">
        <v>88</v>
      </c>
      <c r="B24" s="7">
        <v>1026185744.4</v>
      </c>
      <c r="C24" s="7"/>
      <c r="D24" s="7"/>
      <c r="E24" s="7"/>
    </row>
    <row r="26" spans="1:5" x14ac:dyDescent="0.25">
      <c r="A26" s="1" t="s">
        <v>10</v>
      </c>
    </row>
    <row r="27" spans="1:5" x14ac:dyDescent="0.25">
      <c r="A27" s="1" t="s">
        <v>55</v>
      </c>
      <c r="B27" s="1">
        <v>1.5377000000000001</v>
      </c>
      <c r="C27" s="1">
        <v>1.5377000000000001</v>
      </c>
      <c r="D27" s="1">
        <v>1.5377000000000001</v>
      </c>
      <c r="E27" s="1">
        <v>1.5377000000000001</v>
      </c>
    </row>
    <row r="28" spans="1:5" x14ac:dyDescent="0.25">
      <c r="A28" s="1" t="s">
        <v>90</v>
      </c>
      <c r="B28" s="1">
        <v>1.6242666666666665</v>
      </c>
      <c r="C28" s="1">
        <v>1.6242666666666665</v>
      </c>
      <c r="D28" s="1">
        <v>1.6242666666666665</v>
      </c>
      <c r="E28" s="1">
        <v>1.6242666666666665</v>
      </c>
    </row>
    <row r="29" spans="1:5" x14ac:dyDescent="0.25">
      <c r="A29" s="1" t="s">
        <v>11</v>
      </c>
      <c r="B29" s="7">
        <f>+C29+E29</f>
        <v>44192</v>
      </c>
      <c r="C29" s="7">
        <v>36433</v>
      </c>
      <c r="D29" s="7"/>
      <c r="E29" s="7">
        <v>7759</v>
      </c>
    </row>
    <row r="31" spans="1:5" x14ac:dyDescent="0.25">
      <c r="A31" s="1" t="s">
        <v>12</v>
      </c>
    </row>
    <row r="32" spans="1:5" x14ac:dyDescent="0.25">
      <c r="A32" s="1" t="s">
        <v>56</v>
      </c>
      <c r="B32" s="1">
        <f>B16/B27</f>
        <v>635101623.85380757</v>
      </c>
      <c r="C32" s="1">
        <f>C16/C27</f>
        <v>244202555.76510373</v>
      </c>
      <c r="D32" s="1">
        <f>D16/D27</f>
        <v>0</v>
      </c>
      <c r="E32" s="1">
        <f>E16/E27</f>
        <v>390899068.08870387</v>
      </c>
    </row>
    <row r="33" spans="1:5" x14ac:dyDescent="0.25">
      <c r="A33" s="1" t="s">
        <v>91</v>
      </c>
      <c r="B33" s="1">
        <f>B18/B28</f>
        <v>682128405.22902644</v>
      </c>
      <c r="C33" s="1">
        <f>C18/C28</f>
        <v>230481119.68478084</v>
      </c>
      <c r="D33" s="1">
        <f>D18/D28</f>
        <v>0</v>
      </c>
      <c r="E33" s="1">
        <f>E18/E28</f>
        <v>451647285.54424566</v>
      </c>
    </row>
    <row r="34" spans="1:5" x14ac:dyDescent="0.25">
      <c r="A34" s="1" t="s">
        <v>57</v>
      </c>
      <c r="B34" s="1">
        <f>B32/B10</f>
        <v>160703.85218972864</v>
      </c>
      <c r="C34" s="1">
        <f>C32/C10</f>
        <v>85325.840588785373</v>
      </c>
      <c r="D34" s="1" t="e">
        <f>D32/D10</f>
        <v>#DIV/0!</v>
      </c>
      <c r="E34" s="1">
        <f>E32/E10</f>
        <v>358622.99824651732</v>
      </c>
    </row>
    <row r="35" spans="1:5" x14ac:dyDescent="0.25">
      <c r="A35" s="1" t="s">
        <v>92</v>
      </c>
      <c r="B35" s="1">
        <f>B33/B12</f>
        <v>192746.08794264664</v>
      </c>
      <c r="C35" s="1">
        <f>C33/C12</f>
        <v>88748.987171652232</v>
      </c>
      <c r="D35" s="1" t="e">
        <f>D33/D12</f>
        <v>#DIV/0!</v>
      </c>
      <c r="E35" s="1">
        <f>E33/E12</f>
        <v>479455.71713826503</v>
      </c>
    </row>
    <row r="37" spans="1:5" x14ac:dyDescent="0.25">
      <c r="A37" s="4" t="s">
        <v>13</v>
      </c>
    </row>
    <row r="39" spans="1:5" x14ac:dyDescent="0.25">
      <c r="A39" s="1" t="s">
        <v>14</v>
      </c>
    </row>
    <row r="40" spans="1:5" x14ac:dyDescent="0.25">
      <c r="A40" s="1" t="s">
        <v>15</v>
      </c>
      <c r="B40" s="1">
        <f>B11/B29*100</f>
        <v>8.0580195510499628</v>
      </c>
      <c r="C40" s="1">
        <f>C11/C29*100</f>
        <v>7.0979606400790498</v>
      </c>
      <c r="D40" s="1" t="e">
        <f>D11/D29*100</f>
        <v>#DIV/0!</v>
      </c>
      <c r="E40" s="1">
        <f>E11/E29*100</f>
        <v>12.566052326330713</v>
      </c>
    </row>
    <row r="41" spans="1:5" x14ac:dyDescent="0.25">
      <c r="A41" s="1" t="s">
        <v>16</v>
      </c>
      <c r="B41" s="1">
        <f>B12/B29*100</f>
        <v>8.0082367849384504</v>
      </c>
      <c r="C41" s="1">
        <f>C12/C29*100</f>
        <v>7.1281530480608239</v>
      </c>
      <c r="D41" s="1" t="e">
        <f>D12/D29*100</f>
        <v>#DIV/0!</v>
      </c>
      <c r="E41" s="1">
        <f>E12/E29*100</f>
        <v>12.140739786054903</v>
      </c>
    </row>
    <row r="43" spans="1:5" x14ac:dyDescent="0.25">
      <c r="A43" s="1" t="s">
        <v>17</v>
      </c>
    </row>
    <row r="44" spans="1:5" x14ac:dyDescent="0.25">
      <c r="A44" s="1" t="s">
        <v>18</v>
      </c>
      <c r="B44" s="1">
        <f>B12/B11*100</f>
        <v>99.38219601235609</v>
      </c>
      <c r="C44" s="1">
        <f>C12/C11*100</f>
        <v>100.42536736272237</v>
      </c>
      <c r="D44" s="1" t="e">
        <f>D12/D11*100</f>
        <v>#DIV/0!</v>
      </c>
      <c r="E44" s="1">
        <f>E12/E11*100</f>
        <v>96.615384615384613</v>
      </c>
    </row>
    <row r="45" spans="1:5" x14ac:dyDescent="0.25">
      <c r="A45" s="1" t="s">
        <v>19</v>
      </c>
      <c r="B45" s="1">
        <f>B18/B17*100</f>
        <v>102.99883000900701</v>
      </c>
      <c r="C45" s="1">
        <f>C18/C17*100</f>
        <v>96.489983353762057</v>
      </c>
      <c r="D45" s="1" t="e">
        <f>D18/D17*100</f>
        <v>#DIV/0!</v>
      </c>
      <c r="E45" s="1">
        <f>E18/E17*100</f>
        <v>106.67083667242407</v>
      </c>
    </row>
    <row r="46" spans="1:5" x14ac:dyDescent="0.25">
      <c r="A46" s="1" t="s">
        <v>20</v>
      </c>
      <c r="B46" s="1">
        <f>AVERAGE(B44:B45)</f>
        <v>101.19051301068154</v>
      </c>
      <c r="C46" s="1">
        <f>AVERAGE(C44:C45)</f>
        <v>98.457675358242213</v>
      </c>
      <c r="D46" s="1" t="e">
        <f>AVERAGE(D44:D45)</f>
        <v>#DIV/0!</v>
      </c>
      <c r="E46" s="1">
        <f>AVERAGE(E44:E45)</f>
        <v>101.64311064390435</v>
      </c>
    </row>
    <row r="48" spans="1:5" x14ac:dyDescent="0.25">
      <c r="A48" s="1" t="s">
        <v>21</v>
      </c>
    </row>
    <row r="49" spans="1:5" x14ac:dyDescent="0.25">
      <c r="A49" s="1" t="s">
        <v>22</v>
      </c>
      <c r="B49" s="1">
        <f>(B12/B13)*100</f>
        <v>99.326410328374976</v>
      </c>
      <c r="C49" s="1">
        <f t="shared" ref="C49:E49" si="1">(C12/C13)*100</f>
        <v>100.42536736272237</v>
      </c>
      <c r="D49" s="1" t="e">
        <f t="shared" si="1"/>
        <v>#DIV/0!</v>
      </c>
      <c r="E49" s="1">
        <f t="shared" si="1"/>
        <v>96.417604912998982</v>
      </c>
    </row>
    <row r="50" spans="1:5" x14ac:dyDescent="0.25">
      <c r="A50" s="1" t="s">
        <v>23</v>
      </c>
      <c r="B50" s="1">
        <f>B18/B19*100</f>
        <v>27.537467089281719</v>
      </c>
      <c r="C50" s="1">
        <f>C18/C19*100</f>
        <v>28.907005157719968</v>
      </c>
      <c r="D50" s="1" t="e">
        <f>D18/D19*100</f>
        <v>#DIV/0!</v>
      </c>
      <c r="E50" s="1">
        <f>E18/E19*100</f>
        <v>26.887403525378375</v>
      </c>
    </row>
    <row r="51" spans="1:5" x14ac:dyDescent="0.25">
      <c r="A51" s="1" t="s">
        <v>24</v>
      </c>
      <c r="B51" s="1">
        <f>(B49+B50)/2</f>
        <v>63.431938708828348</v>
      </c>
      <c r="C51" s="1">
        <f>(C49+C50)/2</f>
        <v>64.666186260221167</v>
      </c>
      <c r="D51" s="1" t="e">
        <f>(D49+D50)/2</f>
        <v>#DIV/0!</v>
      </c>
      <c r="E51" s="1">
        <f>(E49+E50)/2</f>
        <v>61.652504219188678</v>
      </c>
    </row>
    <row r="53" spans="1:5" x14ac:dyDescent="0.25">
      <c r="A53" s="1" t="s">
        <v>38</v>
      </c>
    </row>
    <row r="54" spans="1:5" x14ac:dyDescent="0.25">
      <c r="A54" s="1" t="s">
        <v>25</v>
      </c>
      <c r="B54" s="1">
        <f>B20/B18*100</f>
        <v>100</v>
      </c>
    </row>
    <row r="56" spans="1:5" x14ac:dyDescent="0.25">
      <c r="A56" s="1" t="s">
        <v>26</v>
      </c>
    </row>
    <row r="57" spans="1:5" x14ac:dyDescent="0.25">
      <c r="A57" s="1" t="s">
        <v>27</v>
      </c>
      <c r="B57" s="1">
        <f>((B12/B10)-1)*100</f>
        <v>-10.450404858299599</v>
      </c>
      <c r="C57" s="1">
        <f>((C12/C10)-1)*100</f>
        <v>-9.259259259259256</v>
      </c>
      <c r="D57" s="1" t="e">
        <f>((D12/D10)-1)*100</f>
        <v>#DIV/0!</v>
      </c>
      <c r="E57" s="1">
        <f>((E12/E10)-1)*100</f>
        <v>-13.577981651376147</v>
      </c>
    </row>
    <row r="58" spans="1:5" x14ac:dyDescent="0.25">
      <c r="A58" s="1" t="s">
        <v>28</v>
      </c>
      <c r="B58" s="1">
        <f>((B33/B32)-1)*100</f>
        <v>7.4046073272273416</v>
      </c>
      <c r="C58" s="1">
        <f>((C33/C32)-1)*100</f>
        <v>-5.6188748874198557</v>
      </c>
      <c r="D58" s="1" t="e">
        <f>((D33/D32)-1)*100</f>
        <v>#DIV/0!</v>
      </c>
      <c r="E58" s="1">
        <f>((E33/E32)-1)*100</f>
        <v>15.540640133160055</v>
      </c>
    </row>
    <row r="59" spans="1:5" x14ac:dyDescent="0.25">
      <c r="A59" s="1" t="s">
        <v>29</v>
      </c>
      <c r="B59" s="1">
        <f>((B35/B34)-1)*100</f>
        <v>19.938685548799782</v>
      </c>
      <c r="C59" s="1">
        <f>((C35/C34)-1)*100</f>
        <v>4.0118521648842442</v>
      </c>
      <c r="D59" s="1" t="e">
        <f>((D35/D34)-1)*100</f>
        <v>#DIV/0!</v>
      </c>
      <c r="E59" s="1">
        <f>((E35/E34)-1)*100</f>
        <v>33.693522022446352</v>
      </c>
    </row>
    <row r="61" spans="1:5" x14ac:dyDescent="0.25">
      <c r="A61" s="1" t="s">
        <v>30</v>
      </c>
    </row>
    <row r="62" spans="1:5" x14ac:dyDescent="0.25">
      <c r="A62" s="1" t="s">
        <v>122</v>
      </c>
      <c r="B62" s="7">
        <f t="shared" ref="B62:E63" si="2">B17/B11</f>
        <v>302078.07248244877</v>
      </c>
      <c r="C62" s="7">
        <f t="shared" si="2"/>
        <v>150031.32157772622</v>
      </c>
      <c r="D62" s="7" t="e">
        <f t="shared" si="2"/>
        <v>#DIV/0!</v>
      </c>
      <c r="E62" s="7">
        <f t="shared" si="2"/>
        <v>705352.83949743584</v>
      </c>
    </row>
    <row r="63" spans="1:5" x14ac:dyDescent="0.25">
      <c r="A63" s="1" t="s">
        <v>123</v>
      </c>
      <c r="B63" s="7">
        <f t="shared" si="2"/>
        <v>313071.04577564285</v>
      </c>
      <c r="C63" s="7">
        <f t="shared" si="2"/>
        <v>144152.02156334231</v>
      </c>
      <c r="D63" s="7" t="e">
        <f t="shared" si="2"/>
        <v>#DIV/0!</v>
      </c>
      <c r="E63" s="7">
        <f t="shared" si="2"/>
        <v>778763.93949044589</v>
      </c>
    </row>
    <row r="64" spans="1:5" x14ac:dyDescent="0.25">
      <c r="A64" s="1" t="s">
        <v>31</v>
      </c>
      <c r="B64" s="1">
        <f>(B62/B63)*B46</f>
        <v>97.637375082212102</v>
      </c>
      <c r="C64" s="1">
        <f>(C62/C63)*C46</f>
        <v>102.47331250208595</v>
      </c>
      <c r="D64" s="1" t="e">
        <f>(D62/D63)*D46</f>
        <v>#DIV/0!</v>
      </c>
      <c r="E64" s="1">
        <f>E62/E63*E46</f>
        <v>92.061603102655667</v>
      </c>
    </row>
    <row r="65" spans="1:6" x14ac:dyDescent="0.25">
      <c r="A65" s="1" t="s">
        <v>43</v>
      </c>
      <c r="B65" s="7">
        <f>B17/(B11*3)</f>
        <v>100692.69082748293</v>
      </c>
      <c r="C65" s="7">
        <f t="shared" ref="C65:E66" si="3">C17/(C11*3)</f>
        <v>50010.440525908743</v>
      </c>
      <c r="D65" s="7" t="e">
        <f t="shared" si="3"/>
        <v>#DIV/0!</v>
      </c>
      <c r="E65" s="7">
        <f t="shared" si="3"/>
        <v>235117.61316581196</v>
      </c>
    </row>
    <row r="66" spans="1:6" x14ac:dyDescent="0.25">
      <c r="A66" s="1" t="s">
        <v>44</v>
      </c>
      <c r="B66" s="7">
        <f>B18/(B12*3)</f>
        <v>104357.01525854762</v>
      </c>
      <c r="C66" s="7">
        <f t="shared" si="3"/>
        <v>48050.673854447443</v>
      </c>
      <c r="D66" s="7" t="e">
        <f t="shared" si="3"/>
        <v>#DIV/0!</v>
      </c>
      <c r="E66" s="7">
        <f t="shared" si="3"/>
        <v>259587.97983014863</v>
      </c>
    </row>
    <row r="68" spans="1:6" x14ac:dyDescent="0.25">
      <c r="A68" s="1" t="s">
        <v>32</v>
      </c>
    </row>
    <row r="69" spans="1:6" x14ac:dyDescent="0.25">
      <c r="A69" s="1" t="s">
        <v>33</v>
      </c>
      <c r="B69" s="1">
        <f>(B24/B23)*100</f>
        <v>95.397018595476453</v>
      </c>
    </row>
    <row r="70" spans="1:6" ht="15.75" thickBot="1" x14ac:dyDescent="0.3">
      <c r="A70" s="5" t="s">
        <v>34</v>
      </c>
      <c r="B70" s="5">
        <f>(B18/B24)*100</f>
        <v>107.96860481118958</v>
      </c>
      <c r="C70" s="5"/>
      <c r="D70" s="5"/>
      <c r="E70" s="5"/>
      <c r="F70" s="5"/>
    </row>
    <row r="71" spans="1:6" ht="15.75" thickTop="1" x14ac:dyDescent="0.25"/>
    <row r="72" spans="1:6" x14ac:dyDescent="0.25">
      <c r="A72" s="1" t="s">
        <v>36</v>
      </c>
    </row>
    <row r="73" spans="1:6" x14ac:dyDescent="0.25">
      <c r="A73" s="1" t="s">
        <v>115</v>
      </c>
    </row>
    <row r="74" spans="1:6" x14ac:dyDescent="0.25">
      <c r="A74" s="1" t="s">
        <v>78</v>
      </c>
    </row>
    <row r="78" spans="1:6" x14ac:dyDescent="0.25">
      <c r="A78" s="1" t="s">
        <v>41</v>
      </c>
    </row>
    <row r="79" spans="1:6" x14ac:dyDescent="0.25">
      <c r="A79" s="1" t="s">
        <v>42</v>
      </c>
    </row>
    <row r="80" spans="1:6" x14ac:dyDescent="0.25">
      <c r="A80" s="1" t="s">
        <v>45</v>
      </c>
    </row>
    <row r="83" spans="1:1" x14ac:dyDescent="0.25">
      <c r="A83" s="1" t="s">
        <v>130</v>
      </c>
    </row>
  </sheetData>
  <mergeCells count="3">
    <mergeCell ref="A2:E2"/>
    <mergeCell ref="A4:A5"/>
    <mergeCell ref="C4:E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5"/>
  <sheetViews>
    <sheetView workbookViewId="0">
      <selection activeCell="B65" activeCellId="1" sqref="B62:E63 B65:E66"/>
    </sheetView>
  </sheetViews>
  <sheetFormatPr baseColWidth="10" defaultRowHeight="15" x14ac:dyDescent="0.25"/>
  <cols>
    <col min="1" max="1" width="50.5703125" style="1" customWidth="1"/>
    <col min="2" max="2" width="15.85546875" style="1" customWidth="1"/>
    <col min="3" max="4" width="15.28515625" style="1" bestFit="1" customWidth="1"/>
    <col min="5" max="5" width="21.85546875" style="1" bestFit="1" customWidth="1"/>
    <col min="6" max="6" width="11.42578125" style="1"/>
    <col min="7" max="7" width="15.28515625" style="1" bestFit="1" customWidth="1"/>
    <col min="8" max="16384" width="11.42578125" style="1"/>
  </cols>
  <sheetData>
    <row r="2" spans="1:5" x14ac:dyDescent="0.25">
      <c r="A2" s="15" t="s">
        <v>93</v>
      </c>
      <c r="B2" s="15"/>
      <c r="C2" s="15"/>
      <c r="D2" s="15"/>
      <c r="E2" s="15"/>
    </row>
    <row r="4" spans="1:5" x14ac:dyDescent="0.25">
      <c r="A4" s="12" t="s">
        <v>0</v>
      </c>
      <c r="B4" s="2" t="s">
        <v>1</v>
      </c>
      <c r="C4" s="14" t="s">
        <v>2</v>
      </c>
      <c r="D4" s="14"/>
      <c r="E4" s="14"/>
    </row>
    <row r="5" spans="1:5" ht="15.75" thickBot="1" x14ac:dyDescent="0.3">
      <c r="A5" s="13"/>
      <c r="B5" s="3" t="s">
        <v>3</v>
      </c>
      <c r="C5" s="3" t="s">
        <v>4</v>
      </c>
      <c r="D5" s="3" t="s">
        <v>5</v>
      </c>
      <c r="E5" s="3" t="s">
        <v>35</v>
      </c>
    </row>
    <row r="6" spans="1:5" ht="15.75" thickTop="1" x14ac:dyDescent="0.25"/>
    <row r="7" spans="1:5" x14ac:dyDescent="0.25">
      <c r="A7" s="4" t="s">
        <v>6</v>
      </c>
    </row>
    <row r="9" spans="1:5" x14ac:dyDescent="0.25">
      <c r="A9" s="1" t="s">
        <v>7</v>
      </c>
    </row>
    <row r="10" spans="1:5" x14ac:dyDescent="0.25">
      <c r="A10" s="1" t="s">
        <v>58</v>
      </c>
      <c r="B10" s="6">
        <f>SUM(C10:E10)</f>
        <v>4003</v>
      </c>
      <c r="C10" s="7">
        <f>1784+891+187+39</f>
        <v>2901</v>
      </c>
      <c r="D10" s="7">
        <v>0</v>
      </c>
      <c r="E10" s="6">
        <f>951+49+19+5+66+12</f>
        <v>1102</v>
      </c>
    </row>
    <row r="11" spans="1:5" x14ac:dyDescent="0.25">
      <c r="A11" s="1" t="s">
        <v>94</v>
      </c>
      <c r="B11" s="7">
        <f>SUM(C11:E11)</f>
        <v>3563</v>
      </c>
      <c r="C11" s="7">
        <v>2586</v>
      </c>
      <c r="D11" s="7">
        <v>0</v>
      </c>
      <c r="E11" s="6">
        <v>977</v>
      </c>
    </row>
    <row r="12" spans="1:5" x14ac:dyDescent="0.25">
      <c r="A12" s="1" t="s">
        <v>95</v>
      </c>
      <c r="B12" s="7">
        <f>SUM(C12:E12)</f>
        <v>3564</v>
      </c>
      <c r="C12" s="7">
        <f>2017+550+30+9</f>
        <v>2606</v>
      </c>
      <c r="D12" s="7">
        <v>0</v>
      </c>
      <c r="E12" s="6">
        <f>853+75+14+16</f>
        <v>958</v>
      </c>
    </row>
    <row r="13" spans="1:5" x14ac:dyDescent="0.25">
      <c r="A13" s="1" t="s">
        <v>73</v>
      </c>
      <c r="B13" s="6">
        <f>SUM(C13:E13)</f>
        <v>3563</v>
      </c>
      <c r="C13" s="6">
        <v>2586</v>
      </c>
      <c r="D13" s="6">
        <v>0</v>
      </c>
      <c r="E13" s="6">
        <v>977</v>
      </c>
    </row>
    <row r="15" spans="1:5" x14ac:dyDescent="0.25">
      <c r="A15" s="1" t="s">
        <v>8</v>
      </c>
    </row>
    <row r="16" spans="1:5" x14ac:dyDescent="0.25">
      <c r="A16" s="1" t="s">
        <v>58</v>
      </c>
      <c r="B16" s="7">
        <f>SUM(C16:E16)</f>
        <v>1071090094</v>
      </c>
      <c r="C16" s="7">
        <v>412396955.73000002</v>
      </c>
      <c r="D16" s="7">
        <v>0</v>
      </c>
      <c r="E16" s="7">
        <v>658693138.26999998</v>
      </c>
    </row>
    <row r="17" spans="1:5" x14ac:dyDescent="0.25">
      <c r="A17" s="1" t="s">
        <v>94</v>
      </c>
      <c r="B17" s="7">
        <f>SUM(C17:E17)</f>
        <v>1078419647.3400002</v>
      </c>
      <c r="C17" s="7">
        <v>387980997.60000002</v>
      </c>
      <c r="D17" s="7">
        <v>0</v>
      </c>
      <c r="E17" s="7">
        <v>690438649.74000001</v>
      </c>
    </row>
    <row r="18" spans="1:5" x14ac:dyDescent="0.25">
      <c r="A18" s="1" t="s">
        <v>95</v>
      </c>
      <c r="B18" s="7">
        <f>SUM(C18:E18)</f>
        <v>1112037356.6100001</v>
      </c>
      <c r="C18" s="7">
        <v>371223001</v>
      </c>
      <c r="D18" s="7">
        <v>0</v>
      </c>
      <c r="E18" s="7">
        <v>740814355.61000001</v>
      </c>
    </row>
    <row r="19" spans="1:5" x14ac:dyDescent="0.25">
      <c r="A19" s="1" t="s">
        <v>73</v>
      </c>
      <c r="B19" s="7">
        <f>SUM(C19:E19)</f>
        <v>4023458030.5</v>
      </c>
      <c r="C19" s="7">
        <v>1295059097.1199999</v>
      </c>
      <c r="D19" s="6">
        <v>0</v>
      </c>
      <c r="E19" s="7">
        <f>2612801740.88+115597192.5</f>
        <v>2728398933.3800001</v>
      </c>
    </row>
    <row r="20" spans="1:5" x14ac:dyDescent="0.25">
      <c r="A20" s="1" t="s">
        <v>96</v>
      </c>
      <c r="B20" s="7">
        <f>B18</f>
        <v>1112037356.6100001</v>
      </c>
      <c r="C20" s="7">
        <f t="shared" ref="C20:E20" si="0">C18</f>
        <v>371223001</v>
      </c>
      <c r="D20" s="7">
        <f t="shared" si="0"/>
        <v>0</v>
      </c>
      <c r="E20" s="7">
        <f t="shared" si="0"/>
        <v>740814355.61000001</v>
      </c>
    </row>
    <row r="21" spans="1:5" x14ac:dyDescent="0.25">
      <c r="B21" s="7"/>
      <c r="C21" s="7"/>
      <c r="D21" s="7"/>
      <c r="E21" s="7"/>
    </row>
    <row r="22" spans="1:5" x14ac:dyDescent="0.25">
      <c r="A22" s="1" t="s">
        <v>9</v>
      </c>
      <c r="B22" s="7"/>
      <c r="C22" s="7"/>
      <c r="D22" s="7"/>
      <c r="E22" s="7"/>
    </row>
    <row r="23" spans="1:5" x14ac:dyDescent="0.25">
      <c r="A23" s="1" t="s">
        <v>94</v>
      </c>
      <c r="B23" s="7">
        <f>B17</f>
        <v>1078419647.3400002</v>
      </c>
      <c r="C23" s="7"/>
      <c r="D23" s="7"/>
      <c r="E23" s="7"/>
    </row>
    <row r="24" spans="1:5" x14ac:dyDescent="0.25">
      <c r="A24" s="1" t="s">
        <v>95</v>
      </c>
      <c r="B24" s="7">
        <v>1482550190.0500002</v>
      </c>
      <c r="C24" s="7"/>
      <c r="D24" s="7"/>
      <c r="E24" s="7"/>
    </row>
    <row r="26" spans="1:5" x14ac:dyDescent="0.25">
      <c r="A26" s="1" t="s">
        <v>10</v>
      </c>
    </row>
    <row r="27" spans="1:5" x14ac:dyDescent="0.25">
      <c r="A27" s="1" t="s">
        <v>59</v>
      </c>
      <c r="B27" s="1">
        <v>1.5597333333333332</v>
      </c>
      <c r="C27" s="1">
        <v>1.5597333333333332</v>
      </c>
      <c r="D27" s="1">
        <v>1.5597333333333332</v>
      </c>
      <c r="E27" s="1">
        <v>1.5597333333333332</v>
      </c>
    </row>
    <row r="28" spans="1:5" x14ac:dyDescent="0.25">
      <c r="A28" s="1" t="s">
        <v>97</v>
      </c>
      <c r="B28" s="1">
        <v>1.6181333333333334</v>
      </c>
      <c r="C28" s="1">
        <v>1.6181333333333334</v>
      </c>
      <c r="D28" s="1">
        <v>1.6181333333333334</v>
      </c>
      <c r="E28" s="1">
        <v>1.6181333333333334</v>
      </c>
    </row>
    <row r="29" spans="1:5" x14ac:dyDescent="0.25">
      <c r="A29" s="1" t="s">
        <v>11</v>
      </c>
      <c r="B29" s="7">
        <f>+C29+E29</f>
        <v>44192</v>
      </c>
      <c r="C29" s="7">
        <v>36433</v>
      </c>
      <c r="D29" s="7"/>
      <c r="E29" s="7">
        <v>7759</v>
      </c>
    </row>
    <row r="31" spans="1:5" x14ac:dyDescent="0.25">
      <c r="A31" s="1" t="s">
        <v>12</v>
      </c>
    </row>
    <row r="32" spans="1:5" x14ac:dyDescent="0.25">
      <c r="A32" s="1" t="s">
        <v>60</v>
      </c>
      <c r="B32" s="1">
        <f>B16/B27</f>
        <v>686713601.04291344</v>
      </c>
      <c r="C32" s="1">
        <f>C16/C27</f>
        <v>264402219.86450678</v>
      </c>
      <c r="D32" s="1">
        <f>D16/D27</f>
        <v>0</v>
      </c>
      <c r="E32" s="1">
        <f>E16/E27</f>
        <v>422311381.1784066</v>
      </c>
    </row>
    <row r="33" spans="1:5" x14ac:dyDescent="0.25">
      <c r="A33" s="1" t="s">
        <v>98</v>
      </c>
      <c r="B33" s="1">
        <f>B18/B28</f>
        <v>687234688.08297634</v>
      </c>
      <c r="C33" s="1">
        <f>C18/C28</f>
        <v>229414346.36618325</v>
      </c>
      <c r="D33" s="1">
        <f>D18/D28</f>
        <v>0</v>
      </c>
      <c r="E33" s="1">
        <f>E18/E28</f>
        <v>457820341.716793</v>
      </c>
    </row>
    <row r="34" spans="1:5" x14ac:dyDescent="0.25">
      <c r="A34" s="1" t="s">
        <v>61</v>
      </c>
      <c r="B34" s="1">
        <f>B32/B10</f>
        <v>171549.73795726043</v>
      </c>
      <c r="C34" s="1">
        <f>C32/C10</f>
        <v>91141.751073597654</v>
      </c>
      <c r="D34" s="1" t="e">
        <f>D32/D10</f>
        <v>#DIV/0!</v>
      </c>
      <c r="E34" s="1">
        <f>E32/E10</f>
        <v>383222.66894592252</v>
      </c>
    </row>
    <row r="35" spans="1:5" x14ac:dyDescent="0.25">
      <c r="A35" s="1" t="s">
        <v>99</v>
      </c>
      <c r="B35" s="1">
        <f>B33/B12</f>
        <v>192826.79239140751</v>
      </c>
      <c r="C35" s="1">
        <f>C33/C12</f>
        <v>88033.133678504702</v>
      </c>
      <c r="D35" s="1" t="e">
        <f>D33/D12</f>
        <v>#DIV/0!</v>
      </c>
      <c r="E35" s="1">
        <f>E33/E12</f>
        <v>477891.79719915765</v>
      </c>
    </row>
    <row r="37" spans="1:5" x14ac:dyDescent="0.25">
      <c r="A37" s="4" t="s">
        <v>13</v>
      </c>
    </row>
    <row r="39" spans="1:5" x14ac:dyDescent="0.25">
      <c r="A39" s="1" t="s">
        <v>14</v>
      </c>
    </row>
    <row r="40" spans="1:5" x14ac:dyDescent="0.25">
      <c r="A40" s="1" t="s">
        <v>15</v>
      </c>
      <c r="B40" s="1">
        <f>B11/B29*100</f>
        <v>8.0625452570601013</v>
      </c>
      <c r="C40" s="1">
        <f>C11/C29*100</f>
        <v>7.0979606400790498</v>
      </c>
      <c r="D40" s="1" t="e">
        <f>D11/D29*100</f>
        <v>#DIV/0!</v>
      </c>
      <c r="E40" s="1">
        <f>E11/E29*100</f>
        <v>12.591828843923187</v>
      </c>
    </row>
    <row r="41" spans="1:5" x14ac:dyDescent="0.25">
      <c r="A41" s="1" t="s">
        <v>16</v>
      </c>
      <c r="B41" s="1">
        <f>B12/B29*100</f>
        <v>8.0648081100651705</v>
      </c>
      <c r="C41" s="1">
        <f>C12/C29*100</f>
        <v>7.1528559273186394</v>
      </c>
      <c r="D41" s="1" t="e">
        <f>D12/D29*100</f>
        <v>#DIV/0!</v>
      </c>
      <c r="E41" s="1">
        <f>E12/E29*100</f>
        <v>12.34695192679469</v>
      </c>
    </row>
    <row r="43" spans="1:5" x14ac:dyDescent="0.25">
      <c r="A43" s="1" t="s">
        <v>17</v>
      </c>
    </row>
    <row r="44" spans="1:5" x14ac:dyDescent="0.25">
      <c r="A44" s="1" t="s">
        <v>18</v>
      </c>
      <c r="B44" s="1">
        <f>B12/B11*100</f>
        <v>100.0280662363177</v>
      </c>
      <c r="C44" s="1">
        <f>C12/C11*100</f>
        <v>100.77339520494972</v>
      </c>
      <c r="D44" s="1" t="e">
        <f>D12/D11*100</f>
        <v>#DIV/0!</v>
      </c>
      <c r="E44" s="1">
        <f>E12/E11*100</f>
        <v>98.055271238485147</v>
      </c>
    </row>
    <row r="45" spans="1:5" x14ac:dyDescent="0.25">
      <c r="A45" s="1" t="s">
        <v>19</v>
      </c>
      <c r="B45" s="1">
        <f>B18/B17*100</f>
        <v>103.11731238882011</v>
      </c>
      <c r="C45" s="1">
        <f>C18/C17*100</f>
        <v>95.680717173350544</v>
      </c>
      <c r="D45" s="1" t="e">
        <f>D18/D17*100</f>
        <v>#DIV/0!</v>
      </c>
      <c r="E45" s="1">
        <f>E18/E17*100</f>
        <v>107.29618857359304</v>
      </c>
    </row>
    <row r="46" spans="1:5" x14ac:dyDescent="0.25">
      <c r="A46" s="1" t="s">
        <v>20</v>
      </c>
      <c r="B46" s="1">
        <f>AVERAGE(B44:B45)</f>
        <v>101.57268931256891</v>
      </c>
      <c r="C46" s="1">
        <f>AVERAGE(C44:C45)</f>
        <v>98.227056189150133</v>
      </c>
      <c r="D46" s="1" t="e">
        <f>AVERAGE(D44:D45)</f>
        <v>#DIV/0!</v>
      </c>
      <c r="E46" s="1">
        <f>AVERAGE(E44:E45)</f>
        <v>102.67572990603909</v>
      </c>
    </row>
    <row r="48" spans="1:5" x14ac:dyDescent="0.25">
      <c r="A48" s="1" t="s">
        <v>21</v>
      </c>
    </row>
    <row r="49" spans="1:5" x14ac:dyDescent="0.25">
      <c r="A49" s="1" t="s">
        <v>22</v>
      </c>
      <c r="B49" s="1">
        <f>(B12/B13)*100</f>
        <v>100.0280662363177</v>
      </c>
      <c r="C49" s="1">
        <f t="shared" ref="C49:E49" si="1">(C12/C13)*100</f>
        <v>100.77339520494972</v>
      </c>
      <c r="D49" s="1" t="e">
        <f t="shared" si="1"/>
        <v>#DIV/0!</v>
      </c>
      <c r="E49" s="1">
        <f t="shared" si="1"/>
        <v>98.055271238485147</v>
      </c>
    </row>
    <row r="50" spans="1:5" x14ac:dyDescent="0.25">
      <c r="A50" s="1" t="s">
        <v>23</v>
      </c>
      <c r="B50" s="1">
        <f>B18/B19*100</f>
        <v>27.638845693931742</v>
      </c>
      <c r="C50" s="1">
        <f>C18/C19*100</f>
        <v>28.664560700398876</v>
      </c>
      <c r="D50" s="1" t="e">
        <f>D18/D19*100</f>
        <v>#DIV/0!</v>
      </c>
      <c r="E50" s="1">
        <f>E18/E19*100</f>
        <v>27.151980839263228</v>
      </c>
    </row>
    <row r="51" spans="1:5" x14ac:dyDescent="0.25">
      <c r="A51" s="1" t="s">
        <v>24</v>
      </c>
      <c r="B51" s="1">
        <f>(B49+B50)/2</f>
        <v>63.83345596512472</v>
      </c>
      <c r="C51" s="1">
        <f>(C49+C50)/2</f>
        <v>64.718977952674294</v>
      </c>
      <c r="D51" s="1" t="e">
        <f>(D49+D50)/2</f>
        <v>#DIV/0!</v>
      </c>
      <c r="E51" s="1">
        <f>(E49+E50)/2</f>
        <v>62.603626038874189</v>
      </c>
    </row>
    <row r="53" spans="1:5" x14ac:dyDescent="0.25">
      <c r="A53" s="1" t="s">
        <v>37</v>
      </c>
    </row>
    <row r="54" spans="1:5" x14ac:dyDescent="0.25">
      <c r="A54" s="1" t="s">
        <v>25</v>
      </c>
      <c r="B54" s="1">
        <f>B20/B18*100</f>
        <v>100</v>
      </c>
    </row>
    <row r="56" spans="1:5" x14ac:dyDescent="0.25">
      <c r="A56" s="1" t="s">
        <v>26</v>
      </c>
    </row>
    <row r="57" spans="1:5" x14ac:dyDescent="0.25">
      <c r="A57" s="1" t="s">
        <v>27</v>
      </c>
      <c r="B57" s="1">
        <f>((B12/B10)-1)*100</f>
        <v>-10.966774918810895</v>
      </c>
      <c r="C57" s="1">
        <f>((C12/C10)-1)*100</f>
        <v>-10.16890727335401</v>
      </c>
      <c r="D57" s="1" t="e">
        <f>((D12/D10)-1)*100</f>
        <v>#DIV/0!</v>
      </c>
      <c r="E57" s="1">
        <f>((E12/E10)-1)*100</f>
        <v>-13.067150635208712</v>
      </c>
    </row>
    <row r="58" spans="1:5" x14ac:dyDescent="0.25">
      <c r="A58" s="1" t="s">
        <v>28</v>
      </c>
      <c r="B58" s="1">
        <f>((B33/B32)-1)*100</f>
        <v>7.5881275581490826E-2</v>
      </c>
      <c r="C58" s="1">
        <f>((C33/C32)-1)*100</f>
        <v>-13.23282138714762</v>
      </c>
      <c r="D58" s="1" t="e">
        <f>((D33/D32)-1)*100</f>
        <v>#DIV/0!</v>
      </c>
      <c r="E58" s="1">
        <f>((E33/E32)-1)*100</f>
        <v>8.4082414353369153</v>
      </c>
    </row>
    <row r="59" spans="1:5" x14ac:dyDescent="0.25">
      <c r="A59" s="1" t="s">
        <v>29</v>
      </c>
      <c r="B59" s="1">
        <f>((B35/B34)-1)*100</f>
        <v>12.402848694206693</v>
      </c>
      <c r="C59" s="1">
        <f>((C35/C34)-1)*100</f>
        <v>-3.4107501320473022</v>
      </c>
      <c r="D59" s="1" t="e">
        <f>((D35/D34)-1)*100</f>
        <v>#DIV/0!</v>
      </c>
      <c r="E59" s="1">
        <f>((E35/E34)-1)*100</f>
        <v>24.703425951713243</v>
      </c>
    </row>
    <row r="61" spans="1:5" x14ac:dyDescent="0.25">
      <c r="A61" s="1" t="s">
        <v>30</v>
      </c>
    </row>
    <row r="62" spans="1:5" x14ac:dyDescent="0.25">
      <c r="A62" s="1" t="s">
        <v>122</v>
      </c>
      <c r="B62" s="7">
        <f t="shared" ref="B62:E63" si="2">B17/B11</f>
        <v>302671.80671905703</v>
      </c>
      <c r="C62" s="7">
        <f t="shared" si="2"/>
        <v>150031.32157772622</v>
      </c>
      <c r="D62" s="7" t="e">
        <f t="shared" si="2"/>
        <v>#DIV/0!</v>
      </c>
      <c r="E62" s="7">
        <f t="shared" si="2"/>
        <v>706692.57905834191</v>
      </c>
    </row>
    <row r="63" spans="1:5" x14ac:dyDescent="0.25">
      <c r="A63" s="1" t="s">
        <v>123</v>
      </c>
      <c r="B63" s="7">
        <f t="shared" si="2"/>
        <v>312019.46032828285</v>
      </c>
      <c r="C63" s="7">
        <f t="shared" si="2"/>
        <v>142449.34804297774</v>
      </c>
      <c r="D63" s="7" t="e">
        <f t="shared" si="2"/>
        <v>#DIV/0!</v>
      </c>
      <c r="E63" s="7">
        <f t="shared" si="2"/>
        <v>773292.64677453029</v>
      </c>
    </row>
    <row r="64" spans="1:5" x14ac:dyDescent="0.25">
      <c r="A64" s="1" t="s">
        <v>31</v>
      </c>
      <c r="B64" s="1">
        <f>(B62/B63)*B46</f>
        <v>98.529717842608505</v>
      </c>
      <c r="C64" s="1">
        <f>(C62/C63)*C46</f>
        <v>103.45526502726774</v>
      </c>
      <c r="D64" s="1" t="e">
        <f>(D62/D63)*D46</f>
        <v>#DIV/0!</v>
      </c>
      <c r="E64" s="1">
        <f>E62/E63*E46</f>
        <v>93.832750998798687</v>
      </c>
    </row>
    <row r="65" spans="1:6" x14ac:dyDescent="0.25">
      <c r="A65" s="1" t="s">
        <v>43</v>
      </c>
      <c r="B65" s="7">
        <f>B17/(B11*3)</f>
        <v>100890.60223968567</v>
      </c>
      <c r="C65" s="7">
        <f t="shared" ref="C65:E66" si="3">C17/(C11*3)</f>
        <v>50010.440525908743</v>
      </c>
      <c r="D65" s="7" t="e">
        <f t="shared" si="3"/>
        <v>#DIV/0!</v>
      </c>
      <c r="E65" s="7">
        <f t="shared" si="3"/>
        <v>235564.1930194473</v>
      </c>
    </row>
    <row r="66" spans="1:6" x14ac:dyDescent="0.25">
      <c r="A66" s="1" t="s">
        <v>44</v>
      </c>
      <c r="B66" s="7">
        <f>B18/(B12*3)</f>
        <v>104006.48677609429</v>
      </c>
      <c r="C66" s="7">
        <f t="shared" si="3"/>
        <v>47483.116014325911</v>
      </c>
      <c r="D66" s="7" t="e">
        <f t="shared" si="3"/>
        <v>#DIV/0!</v>
      </c>
      <c r="E66" s="7">
        <f t="shared" si="3"/>
        <v>257764.21559151009</v>
      </c>
    </row>
    <row r="68" spans="1:6" x14ac:dyDescent="0.25">
      <c r="A68" s="1" t="s">
        <v>32</v>
      </c>
    </row>
    <row r="69" spans="1:6" x14ac:dyDescent="0.25">
      <c r="A69" s="1" t="s">
        <v>33</v>
      </c>
      <c r="B69" s="1">
        <f>(B24/B23)*100</f>
        <v>137.47433048969546</v>
      </c>
    </row>
    <row r="70" spans="1:6" x14ac:dyDescent="0.25">
      <c r="A70" s="1" t="s">
        <v>34</v>
      </c>
      <c r="B70" s="1">
        <f>(B18/B24)*100</f>
        <v>75.008412131564711</v>
      </c>
    </row>
    <row r="71" spans="1:6" ht="15.75" thickBot="1" x14ac:dyDescent="0.3">
      <c r="A71" s="5"/>
      <c r="B71" s="5"/>
      <c r="C71" s="5"/>
      <c r="D71" s="5"/>
      <c r="E71" s="5"/>
      <c r="F71" s="5"/>
    </row>
    <row r="72" spans="1:6" ht="15.75" thickTop="1" x14ac:dyDescent="0.25"/>
    <row r="73" spans="1:6" x14ac:dyDescent="0.25">
      <c r="A73" s="1" t="s">
        <v>36</v>
      </c>
    </row>
    <row r="74" spans="1:6" x14ac:dyDescent="0.25">
      <c r="A74" s="1" t="s">
        <v>115</v>
      </c>
    </row>
    <row r="75" spans="1:6" x14ac:dyDescent="0.25">
      <c r="A75" s="1" t="s">
        <v>78</v>
      </c>
    </row>
    <row r="79" spans="1:6" x14ac:dyDescent="0.25">
      <c r="A79" s="1" t="s">
        <v>41</v>
      </c>
    </row>
    <row r="80" spans="1:6" x14ac:dyDescent="0.25">
      <c r="A80" s="1" t="s">
        <v>42</v>
      </c>
    </row>
    <row r="81" spans="1:1" x14ac:dyDescent="0.25">
      <c r="A81" s="1" t="s">
        <v>45</v>
      </c>
    </row>
    <row r="85" spans="1:1" x14ac:dyDescent="0.25">
      <c r="A85" s="1" t="s">
        <v>130</v>
      </c>
    </row>
  </sheetData>
  <mergeCells count="3">
    <mergeCell ref="A2:E2"/>
    <mergeCell ref="A4:A5"/>
    <mergeCell ref="C4:E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F84"/>
  <sheetViews>
    <sheetView topLeftCell="A61" workbookViewId="0">
      <selection activeCell="B65" activeCellId="1" sqref="B62:E63 B65:E66"/>
    </sheetView>
  </sheetViews>
  <sheetFormatPr baseColWidth="10" defaultRowHeight="15" x14ac:dyDescent="0.25"/>
  <cols>
    <col min="1" max="1" width="50.5703125" style="1" customWidth="1"/>
    <col min="2" max="3" width="15.28515625" style="1" bestFit="1" customWidth="1"/>
    <col min="4" max="4" width="13.7109375" style="1" bestFit="1" customWidth="1"/>
    <col min="5" max="5" width="21.85546875" style="1" bestFit="1" customWidth="1"/>
    <col min="6" max="16384" width="11.42578125" style="1"/>
  </cols>
  <sheetData>
    <row r="2" spans="1:5" x14ac:dyDescent="0.25">
      <c r="A2" s="15" t="s">
        <v>100</v>
      </c>
      <c r="B2" s="15"/>
      <c r="C2" s="15"/>
      <c r="D2" s="15"/>
      <c r="E2" s="15"/>
    </row>
    <row r="4" spans="1:5" x14ac:dyDescent="0.25">
      <c r="A4" s="12" t="s">
        <v>0</v>
      </c>
      <c r="B4" s="2" t="s">
        <v>1</v>
      </c>
      <c r="C4" s="14" t="s">
        <v>2</v>
      </c>
      <c r="D4" s="14"/>
      <c r="E4" s="14"/>
    </row>
    <row r="5" spans="1:5" ht="15.75" thickBot="1" x14ac:dyDescent="0.3">
      <c r="A5" s="13"/>
      <c r="B5" s="3" t="s">
        <v>3</v>
      </c>
      <c r="C5" s="3" t="s">
        <v>4</v>
      </c>
      <c r="D5" s="3" t="s">
        <v>5</v>
      </c>
      <c r="E5" s="3" t="s">
        <v>35</v>
      </c>
    </row>
    <row r="6" spans="1:5" ht="15.75" thickTop="1" x14ac:dyDescent="0.25"/>
    <row r="7" spans="1:5" x14ac:dyDescent="0.25">
      <c r="A7" s="4" t="s">
        <v>6</v>
      </c>
    </row>
    <row r="9" spans="1:5" x14ac:dyDescent="0.25">
      <c r="A9" s="1" t="s">
        <v>7</v>
      </c>
    </row>
    <row r="10" spans="1:5" x14ac:dyDescent="0.25">
      <c r="A10" s="1" t="s">
        <v>116</v>
      </c>
      <c r="B10" s="6">
        <f>SUM(C10:E10)</f>
        <v>3699</v>
      </c>
      <c r="C10" s="6">
        <f>+'II Trimestre'!C10</f>
        <v>2675</v>
      </c>
      <c r="D10" s="6">
        <f>+'II Trimestre'!D10</f>
        <v>0</v>
      </c>
      <c r="E10" s="6">
        <f>+'II Trimestre'!E10</f>
        <v>1024</v>
      </c>
    </row>
    <row r="11" spans="1:5" x14ac:dyDescent="0.25">
      <c r="A11" s="1" t="s">
        <v>117</v>
      </c>
      <c r="B11" s="7">
        <f>SUM(C11:E11)</f>
        <v>3504</v>
      </c>
      <c r="C11" s="6">
        <f>+'II Trimestre'!C11</f>
        <v>2538</v>
      </c>
      <c r="D11" s="6">
        <f>+'II Trimestre'!D11</f>
        <v>0</v>
      </c>
      <c r="E11" s="6">
        <f>+'II Trimestre'!E11</f>
        <v>966</v>
      </c>
    </row>
    <row r="12" spans="1:5" x14ac:dyDescent="0.25">
      <c r="A12" s="1" t="s">
        <v>118</v>
      </c>
      <c r="B12" s="7">
        <f>SUM(C12:E12)</f>
        <v>3495</v>
      </c>
      <c r="C12" s="6">
        <f>+'II Trimestre'!C12</f>
        <v>2567</v>
      </c>
      <c r="D12" s="6">
        <f>+'II Trimestre'!D12</f>
        <v>0</v>
      </c>
      <c r="E12" s="6">
        <f>+'II Trimestre'!E12</f>
        <v>928</v>
      </c>
    </row>
    <row r="13" spans="1:5" x14ac:dyDescent="0.25">
      <c r="A13" s="1" t="s">
        <v>73</v>
      </c>
      <c r="B13" s="6">
        <f>SUM(C13:E13)</f>
        <v>3563</v>
      </c>
      <c r="C13" s="6">
        <f>+'II Trimestre'!C13</f>
        <v>2586</v>
      </c>
      <c r="D13" s="6">
        <f>+'II Trimestre'!D13</f>
        <v>0</v>
      </c>
      <c r="E13" s="6">
        <f>+'II Trimestre'!E13</f>
        <v>977</v>
      </c>
    </row>
    <row r="15" spans="1:5" x14ac:dyDescent="0.25">
      <c r="A15" s="1" t="s">
        <v>8</v>
      </c>
    </row>
    <row r="16" spans="1:5" x14ac:dyDescent="0.25">
      <c r="A16" s="1" t="s">
        <v>116</v>
      </c>
      <c r="B16" s="1">
        <f>SUM(C16:E16)</f>
        <v>1795056510</v>
      </c>
      <c r="C16" s="1">
        <f>+'I Trimestre'!C16+'II Trimestre'!C16</f>
        <v>515512990</v>
      </c>
      <c r="D16" s="1">
        <f>+'I Trimestre'!D16+'II Trimestre'!D16</f>
        <v>0</v>
      </c>
      <c r="E16" s="1">
        <f>+'I Trimestre'!E16+'II Trimestre'!E16</f>
        <v>1279543520</v>
      </c>
    </row>
    <row r="17" spans="1:5" x14ac:dyDescent="0.25">
      <c r="A17" s="1" t="s">
        <v>117</v>
      </c>
      <c r="B17" s="1">
        <f>SUM(C17:E17)</f>
        <v>1869338367.0500002</v>
      </c>
      <c r="C17" s="1">
        <f>+'I Trimestre'!C17+'II Trimestre'!C17</f>
        <v>519097101.91999996</v>
      </c>
      <c r="D17" s="1">
        <f>+'I Trimestre'!D17+'II Trimestre'!D17</f>
        <v>0</v>
      </c>
      <c r="E17" s="1">
        <f>+'I Trimestre'!E17+'II Trimestre'!E17</f>
        <v>1350241265.1300001</v>
      </c>
    </row>
    <row r="18" spans="1:5" x14ac:dyDescent="0.25">
      <c r="A18" s="1" t="s">
        <v>119</v>
      </c>
      <c r="B18" s="1">
        <f>SUM(C18:E18)</f>
        <v>1876795595</v>
      </c>
      <c r="C18" s="1">
        <f>+'I Trimestre'!C18+'II Trimestre'!C18</f>
        <v>553501840</v>
      </c>
      <c r="D18" s="1">
        <f>+'I Trimestre'!D18+'II Trimestre'!D18</f>
        <v>0</v>
      </c>
      <c r="E18" s="1">
        <f>+'I Trimestre'!E18+'II Trimestre'!E18</f>
        <v>1323293755</v>
      </c>
    </row>
    <row r="19" spans="1:5" x14ac:dyDescent="0.25">
      <c r="A19" s="1" t="s">
        <v>73</v>
      </c>
      <c r="B19" s="1">
        <f>SUM(C19:E19)</f>
        <v>4023458030.5</v>
      </c>
      <c r="C19" s="1">
        <f>'II Trimestre'!C19</f>
        <v>1295059097.1199999</v>
      </c>
      <c r="D19" s="1">
        <f>'II Trimestre'!D19</f>
        <v>0</v>
      </c>
      <c r="E19" s="1">
        <f>'II Trimestre'!E19</f>
        <v>2728398933.3800001</v>
      </c>
    </row>
    <row r="20" spans="1:5" x14ac:dyDescent="0.25">
      <c r="A20" s="1" t="s">
        <v>120</v>
      </c>
      <c r="B20" s="1">
        <f>SUM(C20:E20)</f>
        <v>1876795595</v>
      </c>
      <c r="C20" s="1">
        <f>+'I Trimestre'!C20+'II Trimestre'!C20</f>
        <v>553501840</v>
      </c>
      <c r="D20" s="1">
        <f>+'I Trimestre'!D20+'II Trimestre'!D20</f>
        <v>0</v>
      </c>
      <c r="E20" s="1">
        <f>+'I Trimestre'!E20+'II Trimestre'!E20</f>
        <v>1323293755</v>
      </c>
    </row>
    <row r="22" spans="1:5" x14ac:dyDescent="0.25">
      <c r="A22" s="1" t="s">
        <v>9</v>
      </c>
    </row>
    <row r="23" spans="1:5" x14ac:dyDescent="0.25">
      <c r="A23" s="1" t="s">
        <v>121</v>
      </c>
      <c r="B23" s="1">
        <f>B17</f>
        <v>1869338367.0500002</v>
      </c>
    </row>
    <row r="24" spans="1:5" x14ac:dyDescent="0.25">
      <c r="A24" s="1" t="s">
        <v>119</v>
      </c>
      <c r="B24" s="1">
        <v>1515060913.28</v>
      </c>
    </row>
    <row r="26" spans="1:5" x14ac:dyDescent="0.25">
      <c r="A26" s="1" t="s">
        <v>10</v>
      </c>
    </row>
    <row r="27" spans="1:5" x14ac:dyDescent="0.25">
      <c r="A27" s="1" t="s">
        <v>63</v>
      </c>
      <c r="B27" s="1">
        <v>1.5164078580333333</v>
      </c>
      <c r="C27" s="1">
        <v>1.5164078580333333</v>
      </c>
      <c r="D27" s="1">
        <v>1.5164078580333333</v>
      </c>
      <c r="E27" s="1">
        <v>1.5164078580333333</v>
      </c>
    </row>
    <row r="28" spans="1:5" x14ac:dyDescent="0.25">
      <c r="A28" s="1" t="s">
        <v>104</v>
      </c>
      <c r="B28" s="1">
        <v>1.6071376151833332</v>
      </c>
      <c r="C28" s="1">
        <v>1.6071376151833332</v>
      </c>
      <c r="D28" s="1">
        <v>1.6071376151833332</v>
      </c>
      <c r="E28" s="1">
        <v>1.6071376151833332</v>
      </c>
    </row>
    <row r="29" spans="1:5" x14ac:dyDescent="0.25">
      <c r="A29" s="1" t="s">
        <v>11</v>
      </c>
      <c r="B29" s="7">
        <f>+C29+E29</f>
        <v>44192</v>
      </c>
      <c r="C29" s="7">
        <v>36433</v>
      </c>
      <c r="D29" s="7"/>
      <c r="E29" s="7">
        <v>7759</v>
      </c>
    </row>
    <row r="31" spans="1:5" x14ac:dyDescent="0.25">
      <c r="A31" s="1" t="s">
        <v>12</v>
      </c>
    </row>
    <row r="32" spans="1:5" x14ac:dyDescent="0.25">
      <c r="A32" s="1" t="s">
        <v>64</v>
      </c>
      <c r="B32" s="1">
        <f>B16/B27</f>
        <v>1183755742.5533609</v>
      </c>
      <c r="C32" s="1">
        <f>C16/C27</f>
        <v>339956685.97271812</v>
      </c>
      <c r="D32" s="1">
        <f>D16/D27</f>
        <v>0</v>
      </c>
      <c r="E32" s="1">
        <f>E16/E27</f>
        <v>843799056.58064282</v>
      </c>
    </row>
    <row r="33" spans="1:5" x14ac:dyDescent="0.25">
      <c r="A33" s="1" t="s">
        <v>105</v>
      </c>
      <c r="B33" s="1">
        <f>B18/B28</f>
        <v>1167787734.7086458</v>
      </c>
      <c r="C33" s="1">
        <f>C18/C28</f>
        <v>344402268.21326661</v>
      </c>
      <c r="D33" s="1">
        <f>D18/D28</f>
        <v>0</v>
      </c>
      <c r="E33" s="1">
        <f>E18/E28</f>
        <v>823385466.49537921</v>
      </c>
    </row>
    <row r="34" spans="1:5" x14ac:dyDescent="0.25">
      <c r="A34" s="1" t="s">
        <v>65</v>
      </c>
      <c r="B34" s="1">
        <f>B32/B10</f>
        <v>320020.47649455554</v>
      </c>
      <c r="C34" s="1">
        <f>C32/C10</f>
        <v>127086.61157858621</v>
      </c>
      <c r="D34" s="1" t="e">
        <f>D32/D10</f>
        <v>#DIV/0!</v>
      </c>
      <c r="E34" s="1">
        <f>E32/E10</f>
        <v>824022.516192034</v>
      </c>
    </row>
    <row r="35" spans="1:5" x14ac:dyDescent="0.25">
      <c r="A35" s="1" t="s">
        <v>106</v>
      </c>
      <c r="B35" s="1">
        <f>B33/B12</f>
        <v>334130.96844310325</v>
      </c>
      <c r="C35" s="1">
        <f>C33/C12</f>
        <v>134165.27783921568</v>
      </c>
      <c r="D35" s="1" t="e">
        <f>D33/D12</f>
        <v>#DIV/0!</v>
      </c>
      <c r="E35" s="1">
        <f>E33/E12</f>
        <v>887268.82165450347</v>
      </c>
    </row>
    <row r="37" spans="1:5" x14ac:dyDescent="0.25">
      <c r="A37" s="4" t="s">
        <v>13</v>
      </c>
    </row>
    <row r="39" spans="1:5" x14ac:dyDescent="0.25">
      <c r="A39" s="1" t="s">
        <v>14</v>
      </c>
    </row>
    <row r="40" spans="1:5" x14ac:dyDescent="0.25">
      <c r="A40" s="1" t="s">
        <v>15</v>
      </c>
      <c r="B40" s="1">
        <f>B11/B29*100</f>
        <v>7.9290369297610424</v>
      </c>
      <c r="C40" s="1">
        <f>C11/C29*100</f>
        <v>6.9662119507040323</v>
      </c>
      <c r="D40" s="1" t="e">
        <f>D11/D29*100</f>
        <v>#DIV/0!</v>
      </c>
      <c r="E40" s="1">
        <f>E11/E29*100</f>
        <v>12.450057997164583</v>
      </c>
    </row>
    <row r="41" spans="1:5" x14ac:dyDescent="0.25">
      <c r="A41" s="1" t="s">
        <v>16</v>
      </c>
      <c r="B41" s="1">
        <f>B12/B29*100</f>
        <v>7.9086712527154237</v>
      </c>
      <c r="C41" s="1">
        <f>C12/C29*100</f>
        <v>7.0458101172014382</v>
      </c>
      <c r="D41" s="1" t="e">
        <f>D12/D29*100</f>
        <v>#DIV/0!</v>
      </c>
      <c r="E41" s="1">
        <f>E12/E29*100</f>
        <v>11.96030416290759</v>
      </c>
    </row>
    <row r="43" spans="1:5" x14ac:dyDescent="0.25">
      <c r="A43" s="1" t="s">
        <v>17</v>
      </c>
    </row>
    <row r="44" spans="1:5" x14ac:dyDescent="0.25">
      <c r="A44" s="1" t="s">
        <v>18</v>
      </c>
      <c r="B44" s="1">
        <f>B12/B11*100</f>
        <v>99.743150684931507</v>
      </c>
      <c r="C44" s="1">
        <f>C12/C11*100</f>
        <v>101.14263199369582</v>
      </c>
      <c r="D44" s="1" t="e">
        <f>D12/D11*100</f>
        <v>#DIV/0!</v>
      </c>
      <c r="E44" s="1">
        <f>E12/E11*100</f>
        <v>96.066252587991713</v>
      </c>
    </row>
    <row r="45" spans="1:5" x14ac:dyDescent="0.25">
      <c r="A45" s="1" t="s">
        <v>19</v>
      </c>
      <c r="B45" s="1">
        <f>B18/B17*100</f>
        <v>100.39892338815942</v>
      </c>
      <c r="C45" s="1">
        <f>C18/C17*100</f>
        <v>106.6278039219919</v>
      </c>
      <c r="D45" s="1" t="e">
        <f>D18/D17*100</f>
        <v>#DIV/0!</v>
      </c>
      <c r="E45" s="1">
        <f>E18/E17*100</f>
        <v>98.00424480972994</v>
      </c>
    </row>
    <row r="46" spans="1:5" x14ac:dyDescent="0.25">
      <c r="A46" s="1" t="s">
        <v>20</v>
      </c>
      <c r="B46" s="1">
        <f>AVERAGE(B44:B45)</f>
        <v>100.07103703654546</v>
      </c>
      <c r="C46" s="1">
        <f>AVERAGE(C44:C45)</f>
        <v>103.88521795784385</v>
      </c>
      <c r="D46" s="1" t="e">
        <f>AVERAGE(D44:D45)</f>
        <v>#DIV/0!</v>
      </c>
      <c r="E46" s="1">
        <f>AVERAGE(E44:E45)</f>
        <v>97.035248698860826</v>
      </c>
    </row>
    <row r="48" spans="1:5" x14ac:dyDescent="0.25">
      <c r="A48" s="1" t="s">
        <v>21</v>
      </c>
    </row>
    <row r="49" spans="1:5" x14ac:dyDescent="0.25">
      <c r="A49" s="1" t="s">
        <v>22</v>
      </c>
      <c r="B49" s="1">
        <f>(B12/B13)*100</f>
        <v>98.091495930395737</v>
      </c>
      <c r="C49" s="1">
        <f t="shared" ref="C49:E49" si="0">(C12/C13)*100</f>
        <v>99.265274555297751</v>
      </c>
      <c r="D49" s="1" t="e">
        <f t="shared" si="0"/>
        <v>#DIV/0!</v>
      </c>
      <c r="E49" s="1">
        <f t="shared" si="0"/>
        <v>94.984646878198561</v>
      </c>
    </row>
    <row r="50" spans="1:5" x14ac:dyDescent="0.25">
      <c r="A50" s="1" t="s">
        <v>23</v>
      </c>
      <c r="B50" s="1">
        <f>B18/B19*100</f>
        <v>46.646332104693741</v>
      </c>
      <c r="C50" s="1">
        <f>C18/C19*100</f>
        <v>42.739504415736526</v>
      </c>
      <c r="D50" s="1" t="e">
        <f>D18/D19*100</f>
        <v>#DIV/0!</v>
      </c>
      <c r="E50" s="1">
        <f>E18/E19*100</f>
        <v>48.500743011238271</v>
      </c>
    </row>
    <row r="51" spans="1:5" x14ac:dyDescent="0.25">
      <c r="A51" s="1" t="s">
        <v>24</v>
      </c>
      <c r="B51" s="1">
        <f>(B49+B50)/2</f>
        <v>72.368914017544739</v>
      </c>
      <c r="C51" s="1">
        <f>(C49+C50)/2</f>
        <v>71.002389485517142</v>
      </c>
      <c r="D51" s="1" t="e">
        <f>(D49+D50)/2</f>
        <v>#DIV/0!</v>
      </c>
      <c r="E51" s="1">
        <f>(E49+E50)/2</f>
        <v>71.742694944718409</v>
      </c>
    </row>
    <row r="53" spans="1:5" x14ac:dyDescent="0.25">
      <c r="A53" s="1" t="s">
        <v>38</v>
      </c>
    </row>
    <row r="54" spans="1:5" x14ac:dyDescent="0.25">
      <c r="A54" s="1" t="s">
        <v>25</v>
      </c>
      <c r="B54" s="1">
        <f>B20/B18*100</f>
        <v>100</v>
      </c>
    </row>
    <row r="56" spans="1:5" x14ac:dyDescent="0.25">
      <c r="A56" s="1" t="s">
        <v>26</v>
      </c>
    </row>
    <row r="57" spans="1:5" x14ac:dyDescent="0.25">
      <c r="A57" s="1" t="s">
        <v>27</v>
      </c>
      <c r="B57" s="1">
        <f>((B12/B10)-1)*100</f>
        <v>-5.5150040551500412</v>
      </c>
      <c r="C57" s="1">
        <f>((C12/C10)-1)*100</f>
        <v>-4.0373831775700975</v>
      </c>
      <c r="D57" s="1" t="e">
        <f>((D12/D10)-1)*100</f>
        <v>#DIV/0!</v>
      </c>
      <c r="E57" s="1">
        <f>((E12/E10)-1)*100</f>
        <v>-9.375</v>
      </c>
    </row>
    <row r="58" spans="1:5" x14ac:dyDescent="0.25">
      <c r="A58" s="1" t="s">
        <v>28</v>
      </c>
      <c r="B58" s="1">
        <f>((B33/B32)-1)*100</f>
        <v>-1.3489275929738809</v>
      </c>
      <c r="C58" s="1">
        <f>((C33/C32)-1)*100</f>
        <v>1.3076907806147009</v>
      </c>
      <c r="D58" s="1" t="e">
        <f>((D33/D32)-1)*100</f>
        <v>#DIV/0!</v>
      </c>
      <c r="E58" s="1">
        <f>((E33/E32)-1)*100</f>
        <v>-2.419247796742785</v>
      </c>
    </row>
    <row r="59" spans="1:5" x14ac:dyDescent="0.25">
      <c r="A59" s="1" t="s">
        <v>29</v>
      </c>
      <c r="B59" s="1">
        <f>((B35/B34)-1)*100</f>
        <v>4.4092465904405298</v>
      </c>
      <c r="C59" s="1">
        <f>((C35/C34)-1)*100</f>
        <v>5.5699543584512456</v>
      </c>
      <c r="D59" s="1" t="e">
        <f>((D35/D34)-1)*100</f>
        <v>#DIV/0!</v>
      </c>
      <c r="E59" s="1">
        <f>((E35/E34)-1)*100</f>
        <v>7.6753127760079698</v>
      </c>
    </row>
    <row r="61" spans="1:5" x14ac:dyDescent="0.25">
      <c r="A61" s="1" t="s">
        <v>30</v>
      </c>
    </row>
    <row r="62" spans="1:5" x14ac:dyDescent="0.25">
      <c r="A62" s="1" t="s">
        <v>124</v>
      </c>
      <c r="B62" s="7">
        <f t="shared" ref="B62:E63" si="1">B17/B11</f>
        <v>533486.97689783107</v>
      </c>
      <c r="C62" s="7">
        <f t="shared" si="1"/>
        <v>204529.98499605988</v>
      </c>
      <c r="D62" s="7" t="e">
        <f t="shared" si="1"/>
        <v>#DIV/0!</v>
      </c>
      <c r="E62" s="7">
        <f t="shared" si="1"/>
        <v>1397765.2848136646</v>
      </c>
    </row>
    <row r="63" spans="1:5" x14ac:dyDescent="0.25">
      <c r="A63" s="1" t="s">
        <v>125</v>
      </c>
      <c r="B63" s="7">
        <f t="shared" si="1"/>
        <v>536994.44778254651</v>
      </c>
      <c r="C63" s="7">
        <f t="shared" si="1"/>
        <v>215622.06466692637</v>
      </c>
      <c r="D63" s="7" t="e">
        <f t="shared" si="1"/>
        <v>#DIV/0!</v>
      </c>
      <c r="E63" s="7">
        <f t="shared" si="1"/>
        <v>1425963.0980603448</v>
      </c>
    </row>
    <row r="64" spans="1:5" x14ac:dyDescent="0.25">
      <c r="A64" s="1" t="s">
        <v>31</v>
      </c>
      <c r="B64" s="1">
        <f>(B62/B63)*B46</f>
        <v>99.417405978983581</v>
      </c>
      <c r="C64" s="1">
        <f>(C62/C63)*C46</f>
        <v>98.541130765312289</v>
      </c>
      <c r="D64" s="1" t="e">
        <f>(D62/D63)*D46</f>
        <v>#DIV/0!</v>
      </c>
      <c r="E64" s="1">
        <f>E62/E63*E46</f>
        <v>95.116417962723602</v>
      </c>
    </row>
    <row r="65" spans="1:6" x14ac:dyDescent="0.25">
      <c r="A65" s="1" t="s">
        <v>43</v>
      </c>
      <c r="B65" s="7">
        <f>B17/(B11*6)</f>
        <v>88914.496149638522</v>
      </c>
      <c r="C65" s="7">
        <f t="shared" ref="C65:E65" si="2">C17/(C11*6)</f>
        <v>34088.330832676642</v>
      </c>
      <c r="D65" s="7" t="e">
        <f t="shared" si="2"/>
        <v>#DIV/0!</v>
      </c>
      <c r="E65" s="7">
        <f t="shared" si="2"/>
        <v>232960.88080227745</v>
      </c>
    </row>
    <row r="66" spans="1:6" x14ac:dyDescent="0.25">
      <c r="A66" s="1" t="s">
        <v>44</v>
      </c>
      <c r="B66" s="7">
        <f>B18/(B12*6)</f>
        <v>89499.074630424409</v>
      </c>
      <c r="C66" s="7">
        <f t="shared" ref="C66:E66" si="3">C18/(C12*6)</f>
        <v>35937.010777821059</v>
      </c>
      <c r="D66" s="7" t="e">
        <f t="shared" si="3"/>
        <v>#DIV/0!</v>
      </c>
      <c r="E66" s="7">
        <f t="shared" si="3"/>
        <v>237660.5163433908</v>
      </c>
    </row>
    <row r="68" spans="1:6" x14ac:dyDescent="0.25">
      <c r="A68" s="1" t="s">
        <v>32</v>
      </c>
    </row>
    <row r="69" spans="1:6" x14ac:dyDescent="0.25">
      <c r="A69" s="1" t="s">
        <v>33</v>
      </c>
      <c r="B69" s="1">
        <f>(B24/B23)*100</f>
        <v>81.047976117395763</v>
      </c>
    </row>
    <row r="70" spans="1:6" x14ac:dyDescent="0.25">
      <c r="A70" s="1" t="s">
        <v>34</v>
      </c>
      <c r="B70" s="1">
        <f>(B18/B24)*100</f>
        <v>123.87591670732697</v>
      </c>
    </row>
    <row r="71" spans="1:6" ht="15.75" thickBot="1" x14ac:dyDescent="0.3">
      <c r="A71" s="5"/>
      <c r="B71" s="5"/>
      <c r="C71" s="5"/>
      <c r="D71" s="5"/>
      <c r="E71" s="5"/>
      <c r="F71" s="5"/>
    </row>
    <row r="72" spans="1:6" ht="15.75" thickTop="1" x14ac:dyDescent="0.25"/>
    <row r="73" spans="1:6" x14ac:dyDescent="0.25">
      <c r="A73" s="1" t="s">
        <v>36</v>
      </c>
    </row>
    <row r="74" spans="1:6" x14ac:dyDescent="0.25">
      <c r="A74" s="1" t="s">
        <v>115</v>
      </c>
    </row>
    <row r="75" spans="1:6" x14ac:dyDescent="0.25">
      <c r="A75" s="1" t="s">
        <v>78</v>
      </c>
    </row>
    <row r="79" spans="1:6" x14ac:dyDescent="0.25">
      <c r="A79" s="1" t="s">
        <v>41</v>
      </c>
    </row>
    <row r="80" spans="1:6" x14ac:dyDescent="0.25">
      <c r="A80" s="1" t="s">
        <v>42</v>
      </c>
    </row>
    <row r="81" spans="1:1" x14ac:dyDescent="0.25">
      <c r="A81" s="1" t="s">
        <v>45</v>
      </c>
    </row>
    <row r="84" spans="1:1" x14ac:dyDescent="0.25">
      <c r="A84" s="1" t="s">
        <v>130</v>
      </c>
    </row>
  </sheetData>
  <mergeCells count="3">
    <mergeCell ref="A2:E2"/>
    <mergeCell ref="A4:A5"/>
    <mergeCell ref="C4:E4"/>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F84"/>
  <sheetViews>
    <sheetView workbookViewId="0">
      <selection activeCell="B65" activeCellId="1" sqref="B62:E63 B65:E66"/>
    </sheetView>
  </sheetViews>
  <sheetFormatPr baseColWidth="10" defaultRowHeight="15" x14ac:dyDescent="0.25"/>
  <cols>
    <col min="1" max="1" width="50.5703125" style="1" customWidth="1"/>
    <col min="2" max="3" width="15.28515625" style="1" bestFit="1" customWidth="1"/>
    <col min="4" max="4" width="13.7109375" style="1" bestFit="1" customWidth="1"/>
    <col min="5" max="5" width="21.85546875" style="1" bestFit="1" customWidth="1"/>
    <col min="6" max="16384" width="11.42578125" style="1"/>
  </cols>
  <sheetData>
    <row r="2" spans="1:5" x14ac:dyDescent="0.25">
      <c r="A2" s="15" t="s">
        <v>107</v>
      </c>
      <c r="B2" s="15"/>
      <c r="C2" s="15"/>
      <c r="D2" s="15"/>
      <c r="E2" s="15"/>
    </row>
    <row r="4" spans="1:5" x14ac:dyDescent="0.25">
      <c r="A4" s="12" t="s">
        <v>0</v>
      </c>
      <c r="B4" s="2" t="s">
        <v>1</v>
      </c>
      <c r="C4" s="14" t="s">
        <v>2</v>
      </c>
      <c r="D4" s="14"/>
      <c r="E4" s="14"/>
    </row>
    <row r="5" spans="1:5" ht="15.75" thickBot="1" x14ac:dyDescent="0.3">
      <c r="A5" s="13"/>
      <c r="B5" s="3" t="s">
        <v>3</v>
      </c>
      <c r="C5" s="3" t="s">
        <v>4</v>
      </c>
      <c r="D5" s="3" t="s">
        <v>5</v>
      </c>
      <c r="E5" s="3" t="s">
        <v>35</v>
      </c>
    </row>
    <row r="6" spans="1:5" ht="15.75" thickTop="1" x14ac:dyDescent="0.25"/>
    <row r="7" spans="1:5" x14ac:dyDescent="0.25">
      <c r="A7" s="4" t="s">
        <v>6</v>
      </c>
    </row>
    <row r="9" spans="1:5" x14ac:dyDescent="0.25">
      <c r="A9" s="1" t="s">
        <v>7</v>
      </c>
    </row>
    <row r="10" spans="1:5" x14ac:dyDescent="0.25">
      <c r="A10" s="1" t="s">
        <v>66</v>
      </c>
      <c r="B10" s="6">
        <f>SUM(C10:E10)</f>
        <v>3952</v>
      </c>
      <c r="C10" s="6">
        <f>+'III Trimestre'!C10</f>
        <v>2862</v>
      </c>
      <c r="D10" s="6">
        <f>+'III Trimestre'!D10</f>
        <v>0</v>
      </c>
      <c r="E10" s="6">
        <f>+'III Trimestre'!E10</f>
        <v>1090</v>
      </c>
    </row>
    <row r="11" spans="1:5" x14ac:dyDescent="0.25">
      <c r="A11" s="1" t="s">
        <v>108</v>
      </c>
      <c r="B11" s="7">
        <f>SUM(C11:E11)</f>
        <v>3561</v>
      </c>
      <c r="C11" s="6">
        <f>+'III Trimestre'!C11</f>
        <v>2586</v>
      </c>
      <c r="D11" s="6">
        <f>+'III Trimestre'!D11</f>
        <v>0</v>
      </c>
      <c r="E11" s="6">
        <f>+'III Trimestre'!E11</f>
        <v>975</v>
      </c>
    </row>
    <row r="12" spans="1:5" x14ac:dyDescent="0.25">
      <c r="A12" s="1" t="s">
        <v>109</v>
      </c>
      <c r="B12" s="7">
        <f>SUM(C12:E12)</f>
        <v>3539</v>
      </c>
      <c r="C12" s="6">
        <f>+'III Trimestre'!C12</f>
        <v>2597</v>
      </c>
      <c r="D12" s="6">
        <f>+'III Trimestre'!D12</f>
        <v>0</v>
      </c>
      <c r="E12" s="6">
        <f>+'III Trimestre'!E12</f>
        <v>942</v>
      </c>
    </row>
    <row r="13" spans="1:5" x14ac:dyDescent="0.25">
      <c r="A13" s="1" t="s">
        <v>73</v>
      </c>
      <c r="B13" s="6">
        <f>SUM(C13:E13)</f>
        <v>3563</v>
      </c>
      <c r="C13" s="6">
        <f>+'III Trimestre'!C13</f>
        <v>2586</v>
      </c>
      <c r="D13" s="6">
        <f>+'III Trimestre'!D13</f>
        <v>0</v>
      </c>
      <c r="E13" s="6">
        <f>+'III Trimestre'!E13</f>
        <v>977</v>
      </c>
    </row>
    <row r="15" spans="1:5" x14ac:dyDescent="0.25">
      <c r="A15" s="1" t="s">
        <v>8</v>
      </c>
    </row>
    <row r="16" spans="1:5" x14ac:dyDescent="0.25">
      <c r="A16" s="1" t="s">
        <v>66</v>
      </c>
      <c r="B16" s="1">
        <f>SUM(C16:E16)</f>
        <v>2771652277</v>
      </c>
      <c r="C16" s="1">
        <f>+'I Trimestre'!C16+'II Trimestre'!C16+'III Trimestre'!C16</f>
        <v>891023260</v>
      </c>
      <c r="D16" s="1">
        <f>+'I Trimestre'!D16+'II Trimestre'!D16+'III Trimestre'!D16</f>
        <v>0</v>
      </c>
      <c r="E16" s="1">
        <f>+'I Trimestre'!E16+'II Trimestre'!E16+'III Trimestre'!E16</f>
        <v>1880629017</v>
      </c>
    </row>
    <row r="17" spans="1:5" x14ac:dyDescent="0.25">
      <c r="A17" s="1" t="s">
        <v>108</v>
      </c>
      <c r="B17" s="1">
        <f>SUM(C17:E17)</f>
        <v>2945038383.1599998</v>
      </c>
      <c r="C17" s="1">
        <f>+'I Trimestre'!C17+'II Trimestre'!C17+'III Trimestre'!C17</f>
        <v>907078099.51999998</v>
      </c>
      <c r="D17" s="1">
        <f>+'I Trimestre'!D17+'II Trimestre'!D17+'III Trimestre'!D17</f>
        <v>0</v>
      </c>
      <c r="E17" s="1">
        <f>+'I Trimestre'!E17+'II Trimestre'!E17+'III Trimestre'!E17</f>
        <v>2037960283.6400001</v>
      </c>
    </row>
    <row r="18" spans="1:5" x14ac:dyDescent="0.25">
      <c r="A18" s="1" t="s">
        <v>109</v>
      </c>
      <c r="B18" s="1">
        <f>SUM(C18:E18)</f>
        <v>2984754026</v>
      </c>
      <c r="C18" s="1">
        <f>+'I Trimestre'!C18+'II Trimestre'!C18+'III Trimestre'!C18</f>
        <v>927864640</v>
      </c>
      <c r="D18" s="1">
        <f>+'I Trimestre'!D18+'II Trimestre'!D18+'III Trimestre'!D18</f>
        <v>0</v>
      </c>
      <c r="E18" s="1">
        <f>+'I Trimestre'!E18+'II Trimestre'!E18+'III Trimestre'!E18</f>
        <v>2056889386</v>
      </c>
    </row>
    <row r="19" spans="1:5" x14ac:dyDescent="0.25">
      <c r="A19" s="1" t="s">
        <v>73</v>
      </c>
      <c r="B19" s="1">
        <f>SUM(C19:E19)</f>
        <v>4023458030.5</v>
      </c>
      <c r="C19" s="1">
        <f>+'III Trimestre'!C19</f>
        <v>1295059097.1199999</v>
      </c>
      <c r="D19" s="1">
        <f>+'III Trimestre'!D19</f>
        <v>0</v>
      </c>
      <c r="E19" s="1">
        <f>+'III Trimestre'!E19</f>
        <v>2728398933.3800001</v>
      </c>
    </row>
    <row r="20" spans="1:5" x14ac:dyDescent="0.25">
      <c r="A20" s="1" t="s">
        <v>110</v>
      </c>
      <c r="B20" s="1">
        <f>SUM(C20:E20)</f>
        <v>2984754026</v>
      </c>
      <c r="C20" s="1">
        <f>+'I Trimestre'!C20+'II Trimestre'!C20+'III Trimestre'!C20</f>
        <v>927864640</v>
      </c>
      <c r="D20" s="1">
        <f>+'I Trimestre'!D20+'II Trimestre'!D20+'III Trimestre'!D20</f>
        <v>0</v>
      </c>
      <c r="E20" s="1">
        <f>+'I Trimestre'!E20+'II Trimestre'!E20+'III Trimestre'!E20</f>
        <v>2056889386</v>
      </c>
    </row>
    <row r="22" spans="1:5" x14ac:dyDescent="0.25">
      <c r="A22" s="1" t="s">
        <v>9</v>
      </c>
    </row>
    <row r="23" spans="1:5" x14ac:dyDescent="0.25">
      <c r="A23" s="1" t="s">
        <v>108</v>
      </c>
      <c r="B23" s="1">
        <f>B17</f>
        <v>2945038383.1599998</v>
      </c>
    </row>
    <row r="24" spans="1:5" x14ac:dyDescent="0.25">
      <c r="A24" s="1" t="s">
        <v>109</v>
      </c>
      <c r="B24" s="1">
        <f>'I Trimestre'!B24+'II Trimestre'!B24+'III Trimestre'!B24</f>
        <v>2541246658.4000001</v>
      </c>
    </row>
    <row r="26" spans="1:5" x14ac:dyDescent="0.25">
      <c r="A26" s="1" t="s">
        <v>10</v>
      </c>
    </row>
    <row r="27" spans="1:5" x14ac:dyDescent="0.25">
      <c r="A27" s="1" t="s">
        <v>67</v>
      </c>
      <c r="B27" s="1">
        <v>1.523505238688889</v>
      </c>
      <c r="C27" s="1">
        <v>1.523505238688889</v>
      </c>
      <c r="D27" s="1">
        <v>1.523505238688889</v>
      </c>
      <c r="E27" s="1">
        <v>1.523505238688889</v>
      </c>
    </row>
    <row r="28" spans="1:5" x14ac:dyDescent="0.25">
      <c r="A28" s="1" t="s">
        <v>111</v>
      </c>
      <c r="B28" s="1">
        <v>1.6128472990111107</v>
      </c>
      <c r="C28" s="1">
        <v>1.6128472990111107</v>
      </c>
      <c r="D28" s="1">
        <v>1.6128472990111107</v>
      </c>
      <c r="E28" s="1">
        <v>1.6128472990111107</v>
      </c>
    </row>
    <row r="29" spans="1:5" x14ac:dyDescent="0.25">
      <c r="A29" s="1" t="s">
        <v>11</v>
      </c>
      <c r="B29" s="7">
        <f>+C29+E29</f>
        <v>44192</v>
      </c>
      <c r="C29" s="7">
        <v>36433</v>
      </c>
      <c r="D29" s="7"/>
      <c r="E29" s="7">
        <v>7759</v>
      </c>
    </row>
    <row r="31" spans="1:5" x14ac:dyDescent="0.25">
      <c r="A31" s="1" t="s">
        <v>12</v>
      </c>
    </row>
    <row r="32" spans="1:5" x14ac:dyDescent="0.25">
      <c r="A32" s="1" t="s">
        <v>68</v>
      </c>
      <c r="B32" s="1">
        <f>B16/B27</f>
        <v>1819260089.5716329</v>
      </c>
      <c r="C32" s="1">
        <f>C16/C27</f>
        <v>584850801.54158473</v>
      </c>
      <c r="D32" s="1">
        <f>D16/D27</f>
        <v>0</v>
      </c>
      <c r="E32" s="1">
        <f>E16/E27</f>
        <v>1234409288.0300481</v>
      </c>
    </row>
    <row r="33" spans="1:5" x14ac:dyDescent="0.25">
      <c r="A33" s="1" t="s">
        <v>112</v>
      </c>
      <c r="B33" s="1">
        <f>B18/B28</f>
        <v>1850611665.3635159</v>
      </c>
      <c r="C33" s="1">
        <f>C18/C28</f>
        <v>575296024.96709025</v>
      </c>
      <c r="D33" s="1">
        <f>D18/D28</f>
        <v>0</v>
      </c>
      <c r="E33" s="1">
        <f>E18/E28</f>
        <v>1275315640.3964257</v>
      </c>
    </row>
    <row r="34" spans="1:5" x14ac:dyDescent="0.25">
      <c r="A34" s="1" t="s">
        <v>69</v>
      </c>
      <c r="B34" s="1">
        <f>B32/B10</f>
        <v>460339.09149079781</v>
      </c>
      <c r="C34" s="1">
        <f>C32/C10</f>
        <v>204350.38488524972</v>
      </c>
      <c r="D34" s="1" t="e">
        <f>D32/D10</f>
        <v>#DIV/0!</v>
      </c>
      <c r="E34" s="1">
        <f>E32/E10</f>
        <v>1132485.585348668</v>
      </c>
    </row>
    <row r="35" spans="1:5" x14ac:dyDescent="0.25">
      <c r="A35" s="1" t="s">
        <v>113</v>
      </c>
      <c r="B35" s="1">
        <f>B33/B12</f>
        <v>522919.3742196993</v>
      </c>
      <c r="C35" s="1">
        <f>C33/C12</f>
        <v>221523.30572471707</v>
      </c>
      <c r="D35" s="1" t="e">
        <f>D33/D12</f>
        <v>#DIV/0!</v>
      </c>
      <c r="E35" s="1">
        <f>E33/E12</f>
        <v>1353838.2594441886</v>
      </c>
    </row>
    <row r="37" spans="1:5" x14ac:dyDescent="0.25">
      <c r="A37" s="4" t="s">
        <v>13</v>
      </c>
    </row>
    <row r="39" spans="1:5" x14ac:dyDescent="0.25">
      <c r="A39" s="1" t="s">
        <v>14</v>
      </c>
    </row>
    <row r="40" spans="1:5" x14ac:dyDescent="0.25">
      <c r="A40" s="1" t="s">
        <v>15</v>
      </c>
      <c r="B40" s="1">
        <f>B11/B29*100</f>
        <v>8.0580195510499628</v>
      </c>
      <c r="C40" s="1">
        <f>C11/C29*100</f>
        <v>7.0979606400790498</v>
      </c>
      <c r="D40" s="1" t="e">
        <f>D11/D29*100</f>
        <v>#DIV/0!</v>
      </c>
      <c r="E40" s="1">
        <f>E11/E29*100</f>
        <v>12.566052326330713</v>
      </c>
    </row>
    <row r="41" spans="1:5" x14ac:dyDescent="0.25">
      <c r="A41" s="1" t="s">
        <v>16</v>
      </c>
      <c r="B41" s="1">
        <f>B12/B29*100</f>
        <v>8.0082367849384504</v>
      </c>
      <c r="C41" s="1">
        <f>C12/C29*100</f>
        <v>7.1281530480608239</v>
      </c>
      <c r="D41" s="1" t="e">
        <f>D12/D29*100</f>
        <v>#DIV/0!</v>
      </c>
      <c r="E41" s="1">
        <f>E12/E29*100</f>
        <v>12.140739786054903</v>
      </c>
    </row>
    <row r="43" spans="1:5" x14ac:dyDescent="0.25">
      <c r="A43" s="1" t="s">
        <v>17</v>
      </c>
    </row>
    <row r="44" spans="1:5" x14ac:dyDescent="0.25">
      <c r="A44" s="1" t="s">
        <v>18</v>
      </c>
      <c r="B44" s="1">
        <f>B12/B11*100</f>
        <v>99.38219601235609</v>
      </c>
      <c r="C44" s="1">
        <f>C12/C11*100</f>
        <v>100.42536736272237</v>
      </c>
      <c r="D44" s="1" t="e">
        <f>D12/D11*100</f>
        <v>#DIV/0!</v>
      </c>
      <c r="E44" s="1">
        <f>E12/E11*100</f>
        <v>96.615384615384613</v>
      </c>
    </row>
    <row r="45" spans="1:5" x14ac:dyDescent="0.25">
      <c r="A45" s="1" t="s">
        <v>19</v>
      </c>
      <c r="B45" s="1">
        <f>B18/B17*100</f>
        <v>101.34856112800084</v>
      </c>
      <c r="C45" s="1">
        <f>C18/C17*100</f>
        <v>102.29159324770379</v>
      </c>
      <c r="D45" s="1" t="e">
        <f>D18/D17*100</f>
        <v>#DIV/0!</v>
      </c>
      <c r="E45" s="1">
        <f>E18/E17*100</f>
        <v>100.92882587123782</v>
      </c>
    </row>
    <row r="46" spans="1:5" x14ac:dyDescent="0.25">
      <c r="A46" s="1" t="s">
        <v>20</v>
      </c>
      <c r="B46" s="1">
        <f>AVERAGE(B44:B45)</f>
        <v>100.36537857017846</v>
      </c>
      <c r="C46" s="1">
        <f>AVERAGE(C44:C45)</f>
        <v>101.35848030521308</v>
      </c>
      <c r="D46" s="1" t="e">
        <f>AVERAGE(D44:D45)</f>
        <v>#DIV/0!</v>
      </c>
      <c r="E46" s="1">
        <f>AVERAGE(E44:E45)</f>
        <v>98.772105243311216</v>
      </c>
    </row>
    <row r="48" spans="1:5" x14ac:dyDescent="0.25">
      <c r="A48" s="1" t="s">
        <v>21</v>
      </c>
    </row>
    <row r="49" spans="1:5" x14ac:dyDescent="0.25">
      <c r="A49" s="1" t="s">
        <v>22</v>
      </c>
      <c r="B49" s="1">
        <f>(B12/B13)*100</f>
        <v>99.326410328374976</v>
      </c>
      <c r="C49" s="1">
        <f t="shared" ref="C49:E49" si="0">(C12/C13)*100</f>
        <v>100.42536736272237</v>
      </c>
      <c r="D49" s="1" t="e">
        <f t="shared" si="0"/>
        <v>#DIV/0!</v>
      </c>
      <c r="E49" s="1">
        <f t="shared" si="0"/>
        <v>96.417604912998982</v>
      </c>
    </row>
    <row r="50" spans="1:5" x14ac:dyDescent="0.25">
      <c r="A50" s="1" t="s">
        <v>23</v>
      </c>
      <c r="B50" s="1">
        <f>B18/B19*100</f>
        <v>74.18379919397546</v>
      </c>
      <c r="C50" s="1">
        <f>C18/C19*100</f>
        <v>71.646509573456498</v>
      </c>
      <c r="D50" s="1" t="e">
        <f>D18/D19*100</f>
        <v>#DIV/0!</v>
      </c>
      <c r="E50" s="1">
        <f>E18/E19*100</f>
        <v>75.388146536616645</v>
      </c>
    </row>
    <row r="51" spans="1:5" x14ac:dyDescent="0.25">
      <c r="A51" s="1" t="s">
        <v>24</v>
      </c>
      <c r="B51" s="1">
        <f>(B49+B50)/2</f>
        <v>86.755104761175218</v>
      </c>
      <c r="C51" s="1">
        <f>(C49+C50)/2</f>
        <v>86.035938468089427</v>
      </c>
      <c r="D51" s="1" t="e">
        <f>(D49+D50)/2</f>
        <v>#DIV/0!</v>
      </c>
      <c r="E51" s="1">
        <f>(E49+E50)/2</f>
        <v>85.902875724807814</v>
      </c>
    </row>
    <row r="53" spans="1:5" x14ac:dyDescent="0.25">
      <c r="A53" s="1" t="s">
        <v>38</v>
      </c>
    </row>
    <row r="54" spans="1:5" x14ac:dyDescent="0.25">
      <c r="A54" s="1" t="s">
        <v>25</v>
      </c>
      <c r="B54" s="1">
        <f>B20/B18*100</f>
        <v>100</v>
      </c>
    </row>
    <row r="56" spans="1:5" x14ac:dyDescent="0.25">
      <c r="A56" s="1" t="s">
        <v>26</v>
      </c>
    </row>
    <row r="57" spans="1:5" x14ac:dyDescent="0.25">
      <c r="A57" s="1" t="s">
        <v>27</v>
      </c>
      <c r="B57" s="1">
        <f>((B12/B10)-1)*100</f>
        <v>-10.450404858299599</v>
      </c>
      <c r="C57" s="1">
        <f>((C12/C10)-1)*100</f>
        <v>-9.259259259259256</v>
      </c>
      <c r="D57" s="1" t="e">
        <f>((D12/D10)-1)*100</f>
        <v>#DIV/0!</v>
      </c>
      <c r="E57" s="1">
        <f>((E12/E10)-1)*100</f>
        <v>-13.577981651376147</v>
      </c>
    </row>
    <row r="58" spans="1:5" x14ac:dyDescent="0.25">
      <c r="A58" s="1" t="s">
        <v>28</v>
      </c>
      <c r="B58" s="1">
        <f>((B33/B32)-1)*100</f>
        <v>1.7233146580632797</v>
      </c>
      <c r="C58" s="1">
        <f>((C33/C32)-1)*100</f>
        <v>-1.6337118029605913</v>
      </c>
      <c r="D58" s="1" t="e">
        <f>((D33/D32)-1)*100</f>
        <v>#DIV/0!</v>
      </c>
      <c r="E58" s="1">
        <f>((E33/E32)-1)*100</f>
        <v>3.3138402929273614</v>
      </c>
    </row>
    <row r="59" spans="1:5" x14ac:dyDescent="0.25">
      <c r="A59" s="1" t="s">
        <v>29</v>
      </c>
      <c r="B59" s="1">
        <f>((B35/B34)-1)*100</f>
        <v>13.594388112084221</v>
      </c>
      <c r="C59" s="1">
        <f>((C35/C34)-1)*100</f>
        <v>8.4036645436760935</v>
      </c>
      <c r="D59" s="1" t="e">
        <f>((D35/D34)-1)*100</f>
        <v>#DIV/0!</v>
      </c>
      <c r="E59" s="1">
        <f>((E35/E34)-1)*100</f>
        <v>19.545738767824638</v>
      </c>
    </row>
    <row r="61" spans="1:5" x14ac:dyDescent="0.25">
      <c r="A61" s="1" t="s">
        <v>30</v>
      </c>
    </row>
    <row r="62" spans="1:5" x14ac:dyDescent="0.25">
      <c r="A62" s="1" t="s">
        <v>126</v>
      </c>
      <c r="B62" s="7">
        <f t="shared" ref="B62:E63" si="1">B17/B11</f>
        <v>827025.66221847793</v>
      </c>
      <c r="C62" s="7">
        <f t="shared" si="1"/>
        <v>350764.92634184065</v>
      </c>
      <c r="D62" s="7" t="e">
        <f t="shared" si="1"/>
        <v>#DIV/0!</v>
      </c>
      <c r="E62" s="7">
        <f t="shared" si="1"/>
        <v>2090215.6755282052</v>
      </c>
    </row>
    <row r="63" spans="1:5" x14ac:dyDescent="0.25">
      <c r="A63" s="1" t="s">
        <v>127</v>
      </c>
      <c r="B63" s="7">
        <f t="shared" si="1"/>
        <v>843389.10031082225</v>
      </c>
      <c r="C63" s="7">
        <f t="shared" si="1"/>
        <v>357283.26530612243</v>
      </c>
      <c r="D63" s="7" t="e">
        <f t="shared" si="1"/>
        <v>#DIV/0!</v>
      </c>
      <c r="E63" s="7">
        <f t="shared" si="1"/>
        <v>2183534.3800424631</v>
      </c>
    </row>
    <row r="64" spans="1:5" x14ac:dyDescent="0.25">
      <c r="A64" s="1" t="s">
        <v>31</v>
      </c>
      <c r="B64" s="1">
        <f>(B62/B63)*B46</f>
        <v>98.418089165747517</v>
      </c>
      <c r="C64" s="1">
        <f>(C62/C63)*C46</f>
        <v>99.509278297479028</v>
      </c>
      <c r="D64" s="1" t="e">
        <f>(D62/D63)*D46</f>
        <v>#DIV/0!</v>
      </c>
      <c r="E64" s="1">
        <f>E62/E63*E46</f>
        <v>94.550836740420735</v>
      </c>
    </row>
    <row r="65" spans="1:6" x14ac:dyDescent="0.25">
      <c r="A65" s="1" t="s">
        <v>43</v>
      </c>
      <c r="B65" s="7">
        <f>B17/(B11*9)</f>
        <v>91891.740246497546</v>
      </c>
      <c r="C65" s="7">
        <f t="shared" ref="C65:E65" si="2">C17/(C11*9)</f>
        <v>38973.88070464896</v>
      </c>
      <c r="D65" s="7" t="e">
        <f t="shared" si="2"/>
        <v>#DIV/0!</v>
      </c>
      <c r="E65" s="7">
        <f t="shared" si="2"/>
        <v>232246.18616980058</v>
      </c>
    </row>
    <row r="66" spans="1:6" x14ac:dyDescent="0.25">
      <c r="A66" s="1" t="s">
        <v>44</v>
      </c>
      <c r="B66" s="7">
        <f>B18/(B12*9)</f>
        <v>93709.900034535807</v>
      </c>
      <c r="C66" s="7">
        <f t="shared" ref="C66:E66" si="3">C18/(C12*9)</f>
        <v>39698.140589569164</v>
      </c>
      <c r="D66" s="7" t="e">
        <f t="shared" si="3"/>
        <v>#DIV/0!</v>
      </c>
      <c r="E66" s="7">
        <f t="shared" si="3"/>
        <v>242614.93111582921</v>
      </c>
    </row>
    <row r="68" spans="1:6" x14ac:dyDescent="0.25">
      <c r="A68" s="1" t="s">
        <v>32</v>
      </c>
    </row>
    <row r="69" spans="1:6" x14ac:dyDescent="0.25">
      <c r="A69" s="1" t="s">
        <v>33</v>
      </c>
      <c r="B69" s="1">
        <f>(B24/B23)*100</f>
        <v>86.289084479546418</v>
      </c>
    </row>
    <row r="70" spans="1:6" x14ac:dyDescent="0.25">
      <c r="A70" s="1" t="s">
        <v>34</v>
      </c>
      <c r="B70" s="1">
        <f>(B18/B24)*100</f>
        <v>117.45235418742223</v>
      </c>
    </row>
    <row r="71" spans="1:6" ht="15.75" thickBot="1" x14ac:dyDescent="0.3">
      <c r="A71" s="5"/>
      <c r="B71" s="5"/>
      <c r="C71" s="5"/>
      <c r="D71" s="5"/>
      <c r="E71" s="5"/>
      <c r="F71" s="5"/>
    </row>
    <row r="72" spans="1:6" ht="15.75" thickTop="1" x14ac:dyDescent="0.25"/>
    <row r="73" spans="1:6" x14ac:dyDescent="0.25">
      <c r="A73" s="1" t="s">
        <v>36</v>
      </c>
    </row>
    <row r="74" spans="1:6" x14ac:dyDescent="0.25">
      <c r="A74" s="1" t="s">
        <v>115</v>
      </c>
    </row>
    <row r="75" spans="1:6" x14ac:dyDescent="0.25">
      <c r="A75" s="1" t="s">
        <v>78</v>
      </c>
    </row>
    <row r="79" spans="1:6" x14ac:dyDescent="0.25">
      <c r="A79" s="1" t="s">
        <v>41</v>
      </c>
    </row>
    <row r="80" spans="1:6" x14ac:dyDescent="0.25">
      <c r="A80" s="1" t="s">
        <v>42</v>
      </c>
    </row>
    <row r="81" spans="1:1" x14ac:dyDescent="0.25">
      <c r="A81" s="1" t="s">
        <v>45</v>
      </c>
    </row>
    <row r="84" spans="1:1" x14ac:dyDescent="0.25">
      <c r="A84" s="1" t="s">
        <v>130</v>
      </c>
    </row>
  </sheetData>
  <mergeCells count="3">
    <mergeCell ref="A2:E2"/>
    <mergeCell ref="A4:A5"/>
    <mergeCell ref="C4:E4"/>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H85"/>
  <sheetViews>
    <sheetView tabSelected="1" zoomScale="90" zoomScaleNormal="90" workbookViewId="0"/>
  </sheetViews>
  <sheetFormatPr baseColWidth="10" defaultRowHeight="15" x14ac:dyDescent="0.25"/>
  <cols>
    <col min="1" max="1" width="50.5703125" style="1" customWidth="1"/>
    <col min="2" max="3" width="16.28515625" style="1" bestFit="1" customWidth="1"/>
    <col min="4" max="4" width="19.5703125" style="1" customWidth="1"/>
    <col min="5" max="5" width="21.85546875" style="1" bestFit="1" customWidth="1"/>
    <col min="6" max="16384" width="11.42578125" style="1"/>
  </cols>
  <sheetData>
    <row r="2" spans="1:5" x14ac:dyDescent="0.25">
      <c r="A2" s="15" t="s">
        <v>114</v>
      </c>
      <c r="B2" s="15"/>
      <c r="C2" s="15"/>
      <c r="D2" s="15"/>
      <c r="E2" s="15"/>
    </row>
    <row r="4" spans="1:5" x14ac:dyDescent="0.25">
      <c r="A4" s="12" t="s">
        <v>0</v>
      </c>
      <c r="B4" s="2"/>
      <c r="C4" s="14" t="s">
        <v>2</v>
      </c>
      <c r="D4" s="14"/>
      <c r="E4" s="14"/>
    </row>
    <row r="5" spans="1:5" ht="15.75" thickBot="1" x14ac:dyDescent="0.3">
      <c r="A5" s="13"/>
      <c r="B5" s="3" t="s">
        <v>39</v>
      </c>
      <c r="C5" s="3" t="s">
        <v>4</v>
      </c>
      <c r="D5" s="3" t="s">
        <v>40</v>
      </c>
      <c r="E5" s="3" t="s">
        <v>35</v>
      </c>
    </row>
    <row r="6" spans="1:5" ht="15.75" thickTop="1" x14ac:dyDescent="0.25"/>
    <row r="7" spans="1:5" x14ac:dyDescent="0.25">
      <c r="A7" s="4" t="s">
        <v>6</v>
      </c>
    </row>
    <row r="9" spans="1:5" x14ac:dyDescent="0.25">
      <c r="A9" s="1" t="s">
        <v>7</v>
      </c>
    </row>
    <row r="10" spans="1:5" x14ac:dyDescent="0.25">
      <c r="A10" s="1" t="s">
        <v>62</v>
      </c>
      <c r="B10" s="6">
        <f>SUM(C10:E10)</f>
        <v>4003</v>
      </c>
      <c r="C10" s="6">
        <f>+'IV Trimestre'!C10</f>
        <v>2901</v>
      </c>
      <c r="D10" s="6">
        <f>+'IV Trimestre'!D10</f>
        <v>0</v>
      </c>
      <c r="E10" s="6">
        <f>+'IV Trimestre'!E10</f>
        <v>1102</v>
      </c>
    </row>
    <row r="11" spans="1:5" x14ac:dyDescent="0.25">
      <c r="A11" s="1" t="s">
        <v>101</v>
      </c>
      <c r="B11" s="6">
        <f>SUM(C11:E11)</f>
        <v>3563</v>
      </c>
      <c r="C11" s="6">
        <f>+'IV Trimestre'!C11</f>
        <v>2586</v>
      </c>
      <c r="D11" s="6">
        <f>+'IV Trimestre'!D11</f>
        <v>0</v>
      </c>
      <c r="E11" s="6">
        <f>+'IV Trimestre'!E11</f>
        <v>977</v>
      </c>
    </row>
    <row r="12" spans="1:5" x14ac:dyDescent="0.25">
      <c r="A12" s="1" t="s">
        <v>102</v>
      </c>
      <c r="B12" s="6">
        <f>SUM(C12:E12)</f>
        <v>3564</v>
      </c>
      <c r="C12" s="6">
        <f>+'IV Trimestre'!C12</f>
        <v>2606</v>
      </c>
      <c r="D12" s="6">
        <f>+'IV Trimestre'!D12</f>
        <v>0</v>
      </c>
      <c r="E12" s="6">
        <f>+'IV Trimestre'!E12</f>
        <v>958</v>
      </c>
    </row>
    <row r="13" spans="1:5" x14ac:dyDescent="0.25">
      <c r="A13" s="1" t="s">
        <v>73</v>
      </c>
      <c r="B13" s="6">
        <f>SUM(C13:E13)</f>
        <v>3563</v>
      </c>
      <c r="C13" s="6">
        <f>+'IV Trimestre'!C13</f>
        <v>2586</v>
      </c>
      <c r="D13" s="6">
        <f>+'IV Trimestre'!D13</f>
        <v>0</v>
      </c>
      <c r="E13" s="6">
        <f>+'IV Trimestre'!E13</f>
        <v>977</v>
      </c>
    </row>
    <row r="15" spans="1:5" x14ac:dyDescent="0.25">
      <c r="A15" s="1" t="s">
        <v>8</v>
      </c>
    </row>
    <row r="16" spans="1:5" x14ac:dyDescent="0.25">
      <c r="A16" s="1" t="s">
        <v>62</v>
      </c>
      <c r="B16" s="1">
        <f>SUM(C16:E16)</f>
        <v>3842742371</v>
      </c>
      <c r="C16" s="1">
        <f>+'I Trimestre'!C16+'II Trimestre'!C16+'III Trimestre'!C16+'IV Trimestre'!C16</f>
        <v>1303420215.73</v>
      </c>
      <c r="D16" s="1">
        <f>+'I Trimestre'!D16+'II Trimestre'!D16+'III Trimestre'!D16+'IV Trimestre'!D16</f>
        <v>0</v>
      </c>
      <c r="E16" s="1">
        <f>+'I Trimestre'!E16+'II Trimestre'!E16+'III Trimestre'!E16+'IV Trimestre'!E16</f>
        <v>2539322155.27</v>
      </c>
    </row>
    <row r="17" spans="1:5" x14ac:dyDescent="0.25">
      <c r="A17" s="1" t="s">
        <v>101</v>
      </c>
      <c r="B17" s="9">
        <f>SUM(C17:E17)</f>
        <v>4023458030.5</v>
      </c>
      <c r="C17" s="1">
        <f>+'I Trimestre'!C17+'II Trimestre'!C17+'III Trimestre'!C17+'IV Trimestre'!C17</f>
        <v>1295059097.1199999</v>
      </c>
      <c r="D17" s="1">
        <f>+'I Trimestre'!D17+'II Trimestre'!D17+'III Trimestre'!D17+'IV Trimestre'!D17</f>
        <v>0</v>
      </c>
      <c r="E17" s="1">
        <f>+'I Trimestre'!E17+'II Trimestre'!E17+'III Trimestre'!E17+'IV Trimestre'!E17</f>
        <v>2728398933.3800001</v>
      </c>
    </row>
    <row r="18" spans="1:5" x14ac:dyDescent="0.25">
      <c r="A18" s="1" t="s">
        <v>102</v>
      </c>
      <c r="B18" s="9">
        <f>SUM(C18:E18)</f>
        <v>4096791382.6100001</v>
      </c>
      <c r="C18" s="1">
        <f>+'I Trimestre'!C18+'II Trimestre'!C18+'III Trimestre'!C18+'IV Trimestre'!C18</f>
        <v>1299087641</v>
      </c>
      <c r="D18" s="1">
        <f>+'I Trimestre'!D18+'II Trimestre'!D18+'III Trimestre'!D18+'IV Trimestre'!D18</f>
        <v>0</v>
      </c>
      <c r="E18" s="1">
        <f>+'I Trimestre'!E18+'II Trimestre'!E18+'III Trimestre'!E18+'IV Trimestre'!E18</f>
        <v>2797703741.6100001</v>
      </c>
    </row>
    <row r="19" spans="1:5" x14ac:dyDescent="0.25">
      <c r="A19" s="1" t="s">
        <v>73</v>
      </c>
      <c r="B19" s="9">
        <f>SUM(C19:E19)</f>
        <v>4023458030.5</v>
      </c>
      <c r="C19" s="1">
        <f>'IV Trimestre'!C19</f>
        <v>1295059097.1199999</v>
      </c>
      <c r="D19" s="1">
        <f>'IV Trimestre'!D19</f>
        <v>0</v>
      </c>
      <c r="E19" s="1">
        <f>'IV Trimestre'!E19</f>
        <v>2728398933.3800001</v>
      </c>
    </row>
    <row r="20" spans="1:5" x14ac:dyDescent="0.25">
      <c r="A20" s="1" t="s">
        <v>103</v>
      </c>
      <c r="B20" s="9">
        <f>SUM(C20:E20)</f>
        <v>4096791382.6100001</v>
      </c>
      <c r="C20" s="1">
        <f>+'I Trimestre'!C20+'II Trimestre'!C20+'III Trimestre'!C20+'IV Trimestre'!C20</f>
        <v>1299087641</v>
      </c>
      <c r="D20" s="1">
        <f>+'I Trimestre'!D20+'II Trimestre'!D20+'III Trimestre'!D20+'IV Trimestre'!D20</f>
        <v>0</v>
      </c>
      <c r="E20" s="1">
        <f>+'I Trimestre'!E20+'II Trimestre'!E20+'III Trimestre'!E20+'IV Trimestre'!E20</f>
        <v>2797703741.6100001</v>
      </c>
    </row>
    <row r="22" spans="1:5" x14ac:dyDescent="0.25">
      <c r="A22" s="1" t="s">
        <v>9</v>
      </c>
    </row>
    <row r="23" spans="1:5" x14ac:dyDescent="0.25">
      <c r="A23" s="1" t="s">
        <v>101</v>
      </c>
      <c r="B23" s="1">
        <f>B17</f>
        <v>4023458030.5</v>
      </c>
    </row>
    <row r="24" spans="1:5" x14ac:dyDescent="0.25">
      <c r="A24" s="1" t="s">
        <v>102</v>
      </c>
      <c r="B24" s="1">
        <f>'I Trimestre'!B24+'II Trimestre'!B24+'III Trimestre'!B24+'IV Trimestre'!B24</f>
        <v>4023796848.4500003</v>
      </c>
    </row>
    <row r="26" spans="1:5" x14ac:dyDescent="0.25">
      <c r="A26" s="1" t="s">
        <v>10</v>
      </c>
    </row>
    <row r="27" spans="1:5" x14ac:dyDescent="0.25">
      <c r="A27" s="1" t="s">
        <v>63</v>
      </c>
      <c r="B27" s="1">
        <v>1.5325622623500001</v>
      </c>
      <c r="C27" s="1">
        <v>1.5325622623500001</v>
      </c>
      <c r="D27" s="1">
        <v>1.5325622623500001</v>
      </c>
      <c r="E27" s="1">
        <v>1.5325622623500001</v>
      </c>
    </row>
    <row r="28" spans="1:5" x14ac:dyDescent="0.25">
      <c r="A28" s="1" t="s">
        <v>104</v>
      </c>
      <c r="B28" s="1">
        <v>1.6141688075916665</v>
      </c>
      <c r="C28" s="1">
        <v>1.6141688075916665</v>
      </c>
      <c r="D28" s="1">
        <v>1.6141688075916665</v>
      </c>
      <c r="E28" s="1">
        <v>1.6141688075916665</v>
      </c>
    </row>
    <row r="29" spans="1:5" x14ac:dyDescent="0.25">
      <c r="A29" s="1" t="s">
        <v>11</v>
      </c>
      <c r="B29" s="7">
        <f>+C29+E29</f>
        <v>44192</v>
      </c>
      <c r="C29" s="7">
        <v>36433</v>
      </c>
      <c r="D29" s="7"/>
      <c r="E29" s="7">
        <v>7759</v>
      </c>
    </row>
    <row r="31" spans="1:5" x14ac:dyDescent="0.25">
      <c r="A31" s="1" t="s">
        <v>12</v>
      </c>
    </row>
    <row r="32" spans="1:5" x14ac:dyDescent="0.25">
      <c r="A32" s="1" t="s">
        <v>64</v>
      </c>
      <c r="B32" s="1">
        <f>B16/B27</f>
        <v>2507397229.7266517</v>
      </c>
      <c r="C32" s="1">
        <f>C16/C27</f>
        <v>850484347.52096903</v>
      </c>
      <c r="D32" s="1">
        <f>D16/D27</f>
        <v>0</v>
      </c>
      <c r="E32" s="1">
        <f>E16/E27</f>
        <v>1656912882.2056825</v>
      </c>
    </row>
    <row r="33" spans="1:5" x14ac:dyDescent="0.25">
      <c r="A33" s="1" t="s">
        <v>105</v>
      </c>
      <c r="B33" s="1">
        <f>B18/B28</f>
        <v>2538019173.2997227</v>
      </c>
      <c r="C33" s="1">
        <f>C18/C28</f>
        <v>804802840.25450456</v>
      </c>
      <c r="D33" s="1">
        <f>D18/D28</f>
        <v>0</v>
      </c>
      <c r="E33" s="1">
        <f>E18/E28</f>
        <v>1733216333.045218</v>
      </c>
    </row>
    <row r="34" spans="1:5" x14ac:dyDescent="0.25">
      <c r="A34" s="1" t="s">
        <v>65</v>
      </c>
      <c r="B34" s="1">
        <f>B32/B10</f>
        <v>626379.52278957074</v>
      </c>
      <c r="C34" s="1">
        <f>C32/C10</f>
        <v>293169.37177558395</v>
      </c>
      <c r="D34" s="1" t="e">
        <f>D32/D10</f>
        <v>#DIV/0!</v>
      </c>
      <c r="E34" s="1">
        <f>E32/E10</f>
        <v>1503550.7098055196</v>
      </c>
    </row>
    <row r="35" spans="1:5" x14ac:dyDescent="0.25">
      <c r="A35" s="1" t="s">
        <v>106</v>
      </c>
      <c r="B35" s="1">
        <f>B33/B12</f>
        <v>712126.59183493897</v>
      </c>
      <c r="C35" s="1">
        <f>C33/C12</f>
        <v>308826.87653664796</v>
      </c>
      <c r="D35" s="1" t="e">
        <f>D33/D12</f>
        <v>#DIV/0!</v>
      </c>
      <c r="E35" s="1">
        <f>E33/E12</f>
        <v>1809202.8528655721</v>
      </c>
    </row>
    <row r="37" spans="1:5" x14ac:dyDescent="0.25">
      <c r="A37" s="4" t="s">
        <v>13</v>
      </c>
    </row>
    <row r="39" spans="1:5" x14ac:dyDescent="0.25">
      <c r="A39" s="1" t="s">
        <v>14</v>
      </c>
    </row>
    <row r="40" spans="1:5" x14ac:dyDescent="0.25">
      <c r="A40" s="1" t="s">
        <v>15</v>
      </c>
      <c r="B40" s="1">
        <f>B11/B29*100</f>
        <v>8.0625452570601013</v>
      </c>
      <c r="C40" s="1">
        <f>C11/C29*100</f>
        <v>7.0979606400790498</v>
      </c>
      <c r="D40" s="1" t="e">
        <f>D11/D29*100</f>
        <v>#DIV/0!</v>
      </c>
      <c r="E40" s="1">
        <f>E11/E29*100</f>
        <v>12.591828843923187</v>
      </c>
    </row>
    <row r="41" spans="1:5" x14ac:dyDescent="0.25">
      <c r="A41" s="1" t="s">
        <v>16</v>
      </c>
      <c r="B41" s="1">
        <f>B12/B29*100</f>
        <v>8.0648081100651705</v>
      </c>
      <c r="C41" s="1">
        <f>C12/C29*100</f>
        <v>7.1528559273186394</v>
      </c>
      <c r="D41" s="1" t="e">
        <f>D12/D29*100</f>
        <v>#DIV/0!</v>
      </c>
      <c r="E41" s="1">
        <f>E12/E29*100</f>
        <v>12.34695192679469</v>
      </c>
    </row>
    <row r="43" spans="1:5" x14ac:dyDescent="0.25">
      <c r="A43" s="1" t="s">
        <v>17</v>
      </c>
    </row>
    <row r="44" spans="1:5" x14ac:dyDescent="0.25">
      <c r="A44" s="1" t="s">
        <v>18</v>
      </c>
      <c r="B44" s="1">
        <f>B12/B11*100</f>
        <v>100.0280662363177</v>
      </c>
      <c r="C44" s="1">
        <f>C12/C11*100</f>
        <v>100.77339520494972</v>
      </c>
      <c r="D44" s="1" t="e">
        <f>D12/D11*100</f>
        <v>#DIV/0!</v>
      </c>
      <c r="E44" s="1">
        <f>E12/E11*100</f>
        <v>98.055271238485147</v>
      </c>
    </row>
    <row r="45" spans="1:5" x14ac:dyDescent="0.25">
      <c r="A45" s="1" t="s">
        <v>19</v>
      </c>
      <c r="B45" s="1">
        <f>B18/B17*100</f>
        <v>101.8226448879072</v>
      </c>
      <c r="C45" s="1">
        <f>C18/C17*100</f>
        <v>100.31107027385538</v>
      </c>
      <c r="D45" s="1" t="e">
        <f>D18/D17*100</f>
        <v>#DIV/0!</v>
      </c>
      <c r="E45" s="1">
        <f>E18/E17*100</f>
        <v>102.54012737587988</v>
      </c>
    </row>
    <row r="46" spans="1:5" x14ac:dyDescent="0.25">
      <c r="A46" s="1" t="s">
        <v>20</v>
      </c>
      <c r="B46" s="1">
        <f>AVERAGE(B44:B45)</f>
        <v>100.92535556211246</v>
      </c>
      <c r="C46" s="1">
        <f>AVERAGE(C44:C45)</f>
        <v>100.54223273940255</v>
      </c>
      <c r="D46" s="1" t="e">
        <f>AVERAGE(D44:D45)</f>
        <v>#DIV/0!</v>
      </c>
      <c r="E46" s="1">
        <f>AVERAGE(E44:E45)</f>
        <v>100.29769930718251</v>
      </c>
    </row>
    <row r="48" spans="1:5" x14ac:dyDescent="0.25">
      <c r="A48" s="1" t="s">
        <v>21</v>
      </c>
    </row>
    <row r="49" spans="1:8" x14ac:dyDescent="0.25">
      <c r="A49" s="1" t="s">
        <v>22</v>
      </c>
      <c r="B49" s="1">
        <f>(B12/B13)*100</f>
        <v>100.0280662363177</v>
      </c>
      <c r="C49" s="1">
        <f t="shared" ref="C49:E49" si="0">(C12/C13)*100</f>
        <v>100.77339520494972</v>
      </c>
      <c r="D49" s="1" t="e">
        <f t="shared" si="0"/>
        <v>#DIV/0!</v>
      </c>
      <c r="E49" s="1">
        <f t="shared" si="0"/>
        <v>98.055271238485147</v>
      </c>
    </row>
    <row r="50" spans="1:8" x14ac:dyDescent="0.25">
      <c r="A50" s="1" t="s">
        <v>23</v>
      </c>
      <c r="B50" s="1">
        <f>B18/B19*100</f>
        <v>101.8226448879072</v>
      </c>
      <c r="C50" s="1">
        <f>C18/C19*100</f>
        <v>100.31107027385538</v>
      </c>
      <c r="D50" s="1" t="e">
        <f>D18/D19*100</f>
        <v>#DIV/0!</v>
      </c>
      <c r="E50" s="1">
        <f>E18/E19*100</f>
        <v>102.54012737587988</v>
      </c>
    </row>
    <row r="51" spans="1:8" x14ac:dyDescent="0.25">
      <c r="A51" s="1" t="s">
        <v>24</v>
      </c>
      <c r="B51" s="1">
        <f>(B49+B50)/2</f>
        <v>100.92535556211246</v>
      </c>
      <c r="C51" s="1">
        <f>(C49+C50)/2</f>
        <v>100.54223273940255</v>
      </c>
      <c r="D51" s="1" t="e">
        <f>(D49+D50)/2</f>
        <v>#DIV/0!</v>
      </c>
      <c r="E51" s="1">
        <f>(E49+E50)/2</f>
        <v>100.29769930718251</v>
      </c>
    </row>
    <row r="53" spans="1:8" x14ac:dyDescent="0.25">
      <c r="A53" s="1" t="s">
        <v>38</v>
      </c>
    </row>
    <row r="54" spans="1:8" x14ac:dyDescent="0.25">
      <c r="A54" s="1" t="s">
        <v>25</v>
      </c>
      <c r="B54" s="1">
        <f>B20/B18*100</f>
        <v>100</v>
      </c>
    </row>
    <row r="56" spans="1:8" x14ac:dyDescent="0.25">
      <c r="A56" s="1" t="s">
        <v>26</v>
      </c>
    </row>
    <row r="57" spans="1:8" x14ac:dyDescent="0.25">
      <c r="A57" s="1" t="s">
        <v>27</v>
      </c>
      <c r="B57" s="1">
        <f>((B12/B10)-1)*100</f>
        <v>-10.966774918810895</v>
      </c>
      <c r="C57" s="1">
        <f>((C12/C10)-1)*100</f>
        <v>-10.16890727335401</v>
      </c>
      <c r="D57" s="1" t="e">
        <f>((D12/D10)-1)*100</f>
        <v>#DIV/0!</v>
      </c>
      <c r="E57" s="1">
        <f>((E12/E10)-1)*100</f>
        <v>-13.067150635208712</v>
      </c>
    </row>
    <row r="58" spans="1:8" x14ac:dyDescent="0.25">
      <c r="A58" s="1" t="s">
        <v>28</v>
      </c>
      <c r="B58" s="1">
        <f>((B33/B32)-1)*100</f>
        <v>1.2212641543202674</v>
      </c>
      <c r="C58" s="1">
        <f>((C33/C32)-1)*100</f>
        <v>-5.3712343324858409</v>
      </c>
      <c r="D58" s="1" t="e">
        <f>((D33/D32)-1)*100</f>
        <v>#DIV/0!</v>
      </c>
      <c r="E58" s="1">
        <f>((E33/E32)-1)*100</f>
        <v>4.6051576796216631</v>
      </c>
    </row>
    <row r="59" spans="1:8" x14ac:dyDescent="0.25">
      <c r="A59" s="1" t="s">
        <v>29</v>
      </c>
      <c r="B59" s="1">
        <f>((B35/B34)-1)*100</f>
        <v>13.689315490949493</v>
      </c>
      <c r="C59" s="1">
        <f>((C35/C34)-1)*100</f>
        <v>5.3407709905827216</v>
      </c>
      <c r="D59" s="1" t="e">
        <f>((D35/D34)-1)*100</f>
        <v>#DIV/0!</v>
      </c>
      <c r="E59" s="1">
        <f>((E35/E34)-1)*100</f>
        <v>20.32868868783202</v>
      </c>
    </row>
    <row r="61" spans="1:8" x14ac:dyDescent="0.25">
      <c r="A61" s="1" t="s">
        <v>30</v>
      </c>
    </row>
    <row r="62" spans="1:8" x14ac:dyDescent="0.25">
      <c r="A62" s="1" t="s">
        <v>128</v>
      </c>
      <c r="B62" s="6">
        <f t="shared" ref="B62:E63" si="1">B17/B11</f>
        <v>1129233.2389840023</v>
      </c>
      <c r="C62" s="6">
        <f t="shared" si="1"/>
        <v>500796.24791956687</v>
      </c>
      <c r="D62" s="6" t="e">
        <f t="shared" si="1"/>
        <v>#DIV/0!</v>
      </c>
      <c r="E62" s="6">
        <f t="shared" si="1"/>
        <v>2792629.4098055274</v>
      </c>
      <c r="F62" s="11">
        <f>(B63/B62)-1</f>
        <v>1.7940751222259799E-2</v>
      </c>
      <c r="G62" s="11">
        <f>(C63/C62)-1</f>
        <v>-4.5877677352648139E-3</v>
      </c>
      <c r="H62" s="11">
        <f>(E63/E62)-1</f>
        <v>4.5738042236269649E-2</v>
      </c>
    </row>
    <row r="63" spans="1:8" x14ac:dyDescent="0.25">
      <c r="A63" s="1" t="s">
        <v>129</v>
      </c>
      <c r="B63" s="6">
        <f t="shared" si="1"/>
        <v>1149492.5315965209</v>
      </c>
      <c r="C63" s="6">
        <f t="shared" si="1"/>
        <v>498498.71105141978</v>
      </c>
      <c r="D63" s="6" t="e">
        <f t="shared" si="1"/>
        <v>#DIV/0!</v>
      </c>
      <c r="E63" s="6">
        <f t="shared" si="1"/>
        <v>2920358.8117014617</v>
      </c>
    </row>
    <row r="64" spans="1:8" x14ac:dyDescent="0.25">
      <c r="A64" s="1" t="s">
        <v>31</v>
      </c>
      <c r="B64" s="1">
        <f>(B62/B63)*B46</f>
        <v>99.1465912342438</v>
      </c>
      <c r="C64" s="1">
        <f>(C62/C63)*C46</f>
        <v>101.0056230780403</v>
      </c>
      <c r="D64" s="1" t="e">
        <f>(D62/D63)*D46</f>
        <v>#DIV/0!</v>
      </c>
      <c r="E64" s="1">
        <f>E62/E63*E46</f>
        <v>95.910921527440863</v>
      </c>
    </row>
    <row r="65" spans="1:6" x14ac:dyDescent="0.25">
      <c r="A65" s="1" t="s">
        <v>43</v>
      </c>
      <c r="B65" s="7">
        <f>B17/(B11*12)</f>
        <v>94102.769915333527</v>
      </c>
      <c r="C65" s="7">
        <f t="shared" ref="C65:E65" si="2">C17/(C11*12)</f>
        <v>41733.020659963906</v>
      </c>
      <c r="D65" s="7" t="e">
        <f t="shared" si="2"/>
        <v>#DIV/0!</v>
      </c>
      <c r="E65" s="7">
        <f t="shared" si="2"/>
        <v>232719.11748379393</v>
      </c>
    </row>
    <row r="66" spans="1:6" x14ac:dyDescent="0.25">
      <c r="A66" s="1" t="s">
        <v>44</v>
      </c>
      <c r="B66" s="7">
        <f>B18/(B12*12)</f>
        <v>95791.044299710062</v>
      </c>
      <c r="C66" s="7">
        <f t="shared" ref="C66:E66" si="3">C18/(C12*12)</f>
        <v>41541.559254284984</v>
      </c>
      <c r="D66" s="7" t="e">
        <f t="shared" si="3"/>
        <v>#DIV/0!</v>
      </c>
      <c r="E66" s="7">
        <f t="shared" si="3"/>
        <v>243363.23430845514</v>
      </c>
    </row>
    <row r="68" spans="1:6" x14ac:dyDescent="0.25">
      <c r="A68" s="1" t="s">
        <v>32</v>
      </c>
    </row>
    <row r="69" spans="1:6" x14ac:dyDescent="0.25">
      <c r="A69" s="1" t="s">
        <v>33</v>
      </c>
      <c r="B69" s="1">
        <f>(B24/B23)*100</f>
        <v>100.00842106335972</v>
      </c>
    </row>
    <row r="70" spans="1:6" x14ac:dyDescent="0.25">
      <c r="A70" s="1" t="s">
        <v>34</v>
      </c>
      <c r="B70" s="1">
        <f>(B18/B24)*100</f>
        <v>101.81407106047409</v>
      </c>
    </row>
    <row r="71" spans="1:6" ht="15.75" thickBot="1" x14ac:dyDescent="0.3">
      <c r="A71" s="5"/>
      <c r="B71" s="5"/>
      <c r="C71" s="5"/>
      <c r="D71" s="5"/>
      <c r="E71" s="5"/>
      <c r="F71" s="8"/>
    </row>
    <row r="72" spans="1:6" ht="15.75" thickTop="1" x14ac:dyDescent="0.25"/>
    <row r="73" spans="1:6" x14ac:dyDescent="0.25">
      <c r="A73" s="1" t="s">
        <v>36</v>
      </c>
      <c r="C73" s="1">
        <f>C63-C62</f>
        <v>-2297.5368681470864</v>
      </c>
      <c r="E73" s="1">
        <f t="shared" ref="E73" si="4">E63-E62</f>
        <v>127729.40189593425</v>
      </c>
    </row>
    <row r="74" spans="1:6" x14ac:dyDescent="0.25">
      <c r="A74" s="1" t="s">
        <v>115</v>
      </c>
    </row>
    <row r="75" spans="1:6" x14ac:dyDescent="0.25">
      <c r="A75" s="1" t="s">
        <v>78</v>
      </c>
    </row>
    <row r="79" spans="1:6" x14ac:dyDescent="0.25">
      <c r="A79" s="1" t="s">
        <v>41</v>
      </c>
    </row>
    <row r="80" spans="1:6" x14ac:dyDescent="0.25">
      <c r="A80" s="1" t="s">
        <v>42</v>
      </c>
    </row>
    <row r="81" spans="1:1" x14ac:dyDescent="0.25">
      <c r="A81" s="1" t="s">
        <v>45</v>
      </c>
    </row>
    <row r="85" spans="1:1" x14ac:dyDescent="0.25">
      <c r="A85" s="1" t="s">
        <v>130</v>
      </c>
    </row>
  </sheetData>
  <mergeCells count="3">
    <mergeCell ref="A2:E2"/>
    <mergeCell ref="A4:A5"/>
    <mergeCell ref="C4:E4"/>
  </mergeCells>
  <pageMargins left="0.7" right="0.7" top="0.75" bottom="0.75" header="0.3" footer="0.3"/>
  <pageSetup scale="4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 Trimestre</vt:lpstr>
      <vt:lpstr>II Trimestre</vt:lpstr>
      <vt:lpstr>III Trimestre</vt:lpstr>
      <vt:lpstr>IV Trimestre</vt:lpstr>
      <vt:lpstr>I Semestre</vt:lpstr>
      <vt:lpstr>III Trimestre Acumulado</vt:lpstr>
      <vt:lpstr>Anual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catherine.mata</dc:creator>
  <cp:lastModifiedBy>Horacio Rodriguez</cp:lastModifiedBy>
  <cp:lastPrinted>2012-07-30T17:01:50Z</cp:lastPrinted>
  <dcterms:created xsi:type="dcterms:W3CDTF">2012-02-17T20:51:13Z</dcterms:created>
  <dcterms:modified xsi:type="dcterms:W3CDTF">2014-11-04T15:25:33Z</dcterms:modified>
</cp:coreProperties>
</file>