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activeTab="6"/>
  </bookViews>
  <sheets>
    <sheet name="I Trimestre" sheetId="4" r:id="rId1"/>
    <sheet name="II Trimestre" sheetId="5" r:id="rId2"/>
    <sheet name="III Trimestre" sheetId="6" r:id="rId3"/>
    <sheet name="IV Trimestre" sheetId="1" r:id="rId4"/>
    <sheet name="I Semestre" sheetId="2" r:id="rId5"/>
    <sheet name="III T Acumulado" sheetId="3" r:id="rId6"/>
    <sheet name="Anual" sheetId="7" r:id="rId7"/>
    <sheet name="Observaciones" sheetId="8" r:id="rId8"/>
  </sheets>
  <calcPr calcId="152511"/>
</workbook>
</file>

<file path=xl/calcChain.xml><?xml version="1.0" encoding="utf-8"?>
<calcChain xmlns="http://schemas.openxmlformats.org/spreadsheetml/2006/main">
  <c r="B29" i="3" l="1"/>
  <c r="D66" i="5" l="1"/>
  <c r="D66" i="6"/>
  <c r="D66" i="1"/>
  <c r="D66" i="4"/>
  <c r="F49" i="5"/>
  <c r="F49" i="6"/>
  <c r="F49" i="1"/>
  <c r="F49" i="4"/>
  <c r="B29" i="2"/>
  <c r="B29" i="1"/>
  <c r="B29" i="6"/>
  <c r="B29" i="5"/>
  <c r="B29" i="4"/>
  <c r="D41" i="1"/>
  <c r="D40" i="1"/>
  <c r="D41" i="6"/>
  <c r="D40" i="6"/>
  <c r="D41" i="5"/>
  <c r="D40" i="5"/>
  <c r="D41" i="4"/>
  <c r="D40" i="4"/>
  <c r="B29" i="7"/>
  <c r="B19" i="1" l="1"/>
  <c r="G20" i="1" l="1"/>
  <c r="G20" i="6"/>
  <c r="G20" i="5"/>
  <c r="G20" i="4"/>
  <c r="F41" i="1" l="1"/>
  <c r="F40" i="1"/>
  <c r="B40" i="1" s="1"/>
  <c r="F41" i="6"/>
  <c r="F40" i="6"/>
  <c r="B40" i="6" s="1"/>
  <c r="F41" i="5"/>
  <c r="F40" i="5"/>
  <c r="C19" i="7"/>
  <c r="C11" i="7"/>
  <c r="C13" i="7"/>
  <c r="D40" i="7" l="1"/>
  <c r="C13" i="2"/>
  <c r="C11" i="2"/>
  <c r="D40" i="2" s="1"/>
  <c r="C19" i="2"/>
  <c r="C13" i="3"/>
  <c r="C11" i="3"/>
  <c r="D40" i="3" s="1"/>
  <c r="C19" i="3"/>
  <c r="C17" i="5"/>
  <c r="C17" i="7" l="1"/>
  <c r="C62" i="7" s="1"/>
  <c r="B40" i="5"/>
  <c r="C17" i="3"/>
  <c r="C62" i="3" s="1"/>
  <c r="C17" i="2"/>
  <c r="C62" i="2" s="1"/>
  <c r="F66" i="1"/>
  <c r="E66" i="1"/>
  <c r="F65" i="1"/>
  <c r="C65" i="1"/>
  <c r="F63" i="1"/>
  <c r="E63" i="1"/>
  <c r="D63" i="1"/>
  <c r="F62" i="1"/>
  <c r="C62" i="1"/>
  <c r="F57" i="1"/>
  <c r="E57" i="1"/>
  <c r="D57" i="1"/>
  <c r="H50" i="1"/>
  <c r="H51" i="1" s="1"/>
  <c r="G50" i="1"/>
  <c r="G51" i="1" s="1"/>
  <c r="F50" i="1"/>
  <c r="H45" i="1"/>
  <c r="H46" i="1" s="1"/>
  <c r="G45" i="1"/>
  <c r="G46" i="1" s="1"/>
  <c r="F45" i="1"/>
  <c r="F44" i="1"/>
  <c r="F66" i="6"/>
  <c r="E66" i="6"/>
  <c r="F65" i="6"/>
  <c r="F63" i="6"/>
  <c r="E63" i="6"/>
  <c r="D63" i="6"/>
  <c r="F62" i="6"/>
  <c r="F57" i="6"/>
  <c r="E57" i="6"/>
  <c r="D57" i="6"/>
  <c r="H50" i="6"/>
  <c r="H51" i="6" s="1"/>
  <c r="G50" i="6"/>
  <c r="G51" i="6" s="1"/>
  <c r="F50" i="6"/>
  <c r="H45" i="6"/>
  <c r="H46" i="6" s="1"/>
  <c r="G45" i="6"/>
  <c r="G46" i="6" s="1"/>
  <c r="F45" i="6"/>
  <c r="F44" i="6"/>
  <c r="F46" i="6" s="1"/>
  <c r="F66" i="5"/>
  <c r="E66" i="5"/>
  <c r="F65" i="5"/>
  <c r="F63" i="5"/>
  <c r="E63" i="5"/>
  <c r="D63" i="5"/>
  <c r="F62" i="5"/>
  <c r="F57" i="5"/>
  <c r="E57" i="5"/>
  <c r="D57" i="5"/>
  <c r="H50" i="5"/>
  <c r="H51" i="5" s="1"/>
  <c r="G50" i="5"/>
  <c r="G51" i="5" s="1"/>
  <c r="F50" i="5"/>
  <c r="F51" i="5" s="1"/>
  <c r="H45" i="5"/>
  <c r="H46" i="5" s="1"/>
  <c r="G45" i="5"/>
  <c r="G46" i="5" s="1"/>
  <c r="F45" i="5"/>
  <c r="F44" i="5"/>
  <c r="B17" i="1"/>
  <c r="B13" i="1"/>
  <c r="B11" i="1"/>
  <c r="B19" i="6"/>
  <c r="B13" i="6"/>
  <c r="B11" i="6"/>
  <c r="B13" i="5"/>
  <c r="B11" i="5"/>
  <c r="B17" i="4"/>
  <c r="B19" i="4"/>
  <c r="B11" i="4"/>
  <c r="B13" i="4"/>
  <c r="C62" i="4"/>
  <c r="C65" i="4"/>
  <c r="B62" i="1" l="1"/>
  <c r="B65" i="4"/>
  <c r="F46" i="5"/>
  <c r="F64" i="5" s="1"/>
  <c r="F46" i="1"/>
  <c r="F64" i="1" s="1"/>
  <c r="F51" i="1"/>
  <c r="B65" i="1"/>
  <c r="F51" i="6"/>
  <c r="F64" i="6"/>
  <c r="C12" i="1" l="1"/>
  <c r="C49" i="1" s="1"/>
  <c r="C16" i="1"/>
  <c r="C18" i="1"/>
  <c r="B18" i="1" s="1"/>
  <c r="C10" i="1"/>
  <c r="B10" i="1" s="1"/>
  <c r="C12" i="6"/>
  <c r="C49" i="6" s="1"/>
  <c r="C16" i="6"/>
  <c r="C18" i="6"/>
  <c r="C10" i="6"/>
  <c r="B10" i="6" s="1"/>
  <c r="C32" i="5"/>
  <c r="C34" i="5" s="1"/>
  <c r="C12" i="5"/>
  <c r="C49" i="5" s="1"/>
  <c r="C16" i="5"/>
  <c r="B16" i="5" s="1"/>
  <c r="C18" i="5"/>
  <c r="B41" i="5" s="1"/>
  <c r="C10" i="5"/>
  <c r="B10" i="5" s="1"/>
  <c r="C16" i="4"/>
  <c r="B16" i="4" s="1"/>
  <c r="C18" i="4"/>
  <c r="C45" i="4" s="1"/>
  <c r="C12" i="4"/>
  <c r="C10" i="4"/>
  <c r="B10" i="4" s="1"/>
  <c r="D57" i="4"/>
  <c r="E57" i="4"/>
  <c r="F57" i="4"/>
  <c r="C33" i="5" l="1"/>
  <c r="C35" i="5" s="1"/>
  <c r="C59" i="5" s="1"/>
  <c r="C33" i="4"/>
  <c r="C44" i="4"/>
  <c r="C46" i="4" s="1"/>
  <c r="C49" i="4"/>
  <c r="C33" i="1"/>
  <c r="C35" i="1" s="1"/>
  <c r="B41" i="1"/>
  <c r="C33" i="6"/>
  <c r="C35" i="6" s="1"/>
  <c r="B41" i="6"/>
  <c r="C32" i="4"/>
  <c r="C34" i="4" s="1"/>
  <c r="B12" i="4"/>
  <c r="B49" i="4" s="1"/>
  <c r="C57" i="4"/>
  <c r="C32" i="1"/>
  <c r="C34" i="1" s="1"/>
  <c r="B16" i="1"/>
  <c r="C44" i="5"/>
  <c r="C57" i="5"/>
  <c r="B12" i="5"/>
  <c r="B49" i="5" s="1"/>
  <c r="C66" i="4"/>
  <c r="C63" i="4"/>
  <c r="B18" i="4"/>
  <c r="C50" i="4"/>
  <c r="B18" i="5"/>
  <c r="C66" i="5"/>
  <c r="C63" i="5"/>
  <c r="C32" i="6"/>
  <c r="C34" i="6" s="1"/>
  <c r="B16" i="6"/>
  <c r="C50" i="1"/>
  <c r="C51" i="1" s="1"/>
  <c r="C45" i="1"/>
  <c r="C57" i="1"/>
  <c r="C44" i="1"/>
  <c r="B12" i="1"/>
  <c r="B49" i="1" s="1"/>
  <c r="C66" i="1"/>
  <c r="C63" i="1"/>
  <c r="C50" i="6"/>
  <c r="B18" i="6"/>
  <c r="B12" i="6"/>
  <c r="B49" i="6" s="1"/>
  <c r="C66" i="6"/>
  <c r="C63" i="6"/>
  <c r="C57" i="6"/>
  <c r="C44" i="6"/>
  <c r="B17" i="5"/>
  <c r="C62" i="5"/>
  <c r="C65" i="5"/>
  <c r="C45" i="5"/>
  <c r="C46" i="5" s="1"/>
  <c r="C50" i="5"/>
  <c r="C51" i="5" s="1"/>
  <c r="B19" i="5"/>
  <c r="B50" i="5" s="1"/>
  <c r="C62" i="6"/>
  <c r="C65" i="6"/>
  <c r="B17" i="6"/>
  <c r="C45" i="6"/>
  <c r="C58" i="5" l="1"/>
  <c r="C58" i="6"/>
  <c r="C58" i="4"/>
  <c r="B66" i="4"/>
  <c r="C51" i="4"/>
  <c r="C46" i="1"/>
  <c r="C35" i="4"/>
  <c r="C59" i="4" s="1"/>
  <c r="C58" i="1"/>
  <c r="B66" i="5"/>
  <c r="B63" i="5"/>
  <c r="B70" i="5"/>
  <c r="C59" i="6"/>
  <c r="B44" i="5"/>
  <c r="B57" i="5"/>
  <c r="B51" i="5"/>
  <c r="C59" i="1"/>
  <c r="B63" i="4"/>
  <c r="C64" i="4"/>
  <c r="C46" i="6"/>
  <c r="B70" i="1"/>
  <c r="B45" i="1"/>
  <c r="B50" i="1"/>
  <c r="B51" i="1" s="1"/>
  <c r="B66" i="1"/>
  <c r="B63" i="1"/>
  <c r="B57" i="1"/>
  <c r="B44" i="1"/>
  <c r="C64" i="1"/>
  <c r="B70" i="6"/>
  <c r="B50" i="6"/>
  <c r="C51" i="6"/>
  <c r="B63" i="6"/>
  <c r="B66" i="6"/>
  <c r="B57" i="6"/>
  <c r="B44" i="6"/>
  <c r="B45" i="5"/>
  <c r="B62" i="5"/>
  <c r="B65" i="5"/>
  <c r="C64" i="5"/>
  <c r="C64" i="6"/>
  <c r="B45" i="6"/>
  <c r="B46" i="6" s="1"/>
  <c r="B65" i="6"/>
  <c r="B62" i="6"/>
  <c r="E20" i="4"/>
  <c r="F20" i="4"/>
  <c r="D20" i="4"/>
  <c r="B46" i="5" l="1"/>
  <c r="B64" i="5" s="1"/>
  <c r="B46" i="1"/>
  <c r="B64" i="1" s="1"/>
  <c r="C20" i="4"/>
  <c r="B20" i="4" s="1"/>
  <c r="B51" i="6"/>
  <c r="B64" i="6"/>
  <c r="D63" i="4" l="1"/>
  <c r="E63" i="4"/>
  <c r="F63" i="4"/>
  <c r="F13" i="7"/>
  <c r="B13" i="7" s="1"/>
  <c r="F12" i="7"/>
  <c r="F11" i="7"/>
  <c r="F10" i="7"/>
  <c r="E12" i="7"/>
  <c r="E10" i="7"/>
  <c r="D12" i="7"/>
  <c r="D41" i="7" s="1"/>
  <c r="D10" i="7"/>
  <c r="F12" i="3"/>
  <c r="F11" i="3"/>
  <c r="F40" i="3" s="1"/>
  <c r="F10" i="3"/>
  <c r="E12" i="3"/>
  <c r="E11" i="3"/>
  <c r="E10" i="3"/>
  <c r="D12" i="3"/>
  <c r="D41" i="3" s="1"/>
  <c r="D10" i="3"/>
  <c r="E13" i="3"/>
  <c r="F13" i="3"/>
  <c r="F13" i="2"/>
  <c r="B13" i="2" s="1"/>
  <c r="G13" i="2"/>
  <c r="H13" i="2"/>
  <c r="F49" i="7" l="1"/>
  <c r="F41" i="7"/>
  <c r="F40" i="7"/>
  <c r="B11" i="7"/>
  <c r="C10" i="7"/>
  <c r="B10" i="7" s="1"/>
  <c r="F41" i="3"/>
  <c r="F49" i="3"/>
  <c r="C10" i="3"/>
  <c r="B10" i="3" s="1"/>
  <c r="D57" i="3"/>
  <c r="C12" i="3"/>
  <c r="C49" i="3" s="1"/>
  <c r="F57" i="3"/>
  <c r="E57" i="7"/>
  <c r="E57" i="3"/>
  <c r="D57" i="7"/>
  <c r="C12" i="7"/>
  <c r="C49" i="7" s="1"/>
  <c r="F57" i="7"/>
  <c r="B13" i="3"/>
  <c r="F44" i="3"/>
  <c r="B11" i="3"/>
  <c r="F44" i="7"/>
  <c r="I1" i="4"/>
  <c r="B12" i="7" l="1"/>
  <c r="C57" i="7"/>
  <c r="C44" i="7"/>
  <c r="B12" i="3"/>
  <c r="B49" i="3" s="1"/>
  <c r="C57" i="3"/>
  <c r="C44" i="3"/>
  <c r="F11" i="2"/>
  <c r="F12" i="2"/>
  <c r="F49" i="2" s="1"/>
  <c r="D12" i="2"/>
  <c r="D41" i="2" s="1"/>
  <c r="E12" i="2"/>
  <c r="E10" i="2"/>
  <c r="D10" i="2"/>
  <c r="F10" i="2"/>
  <c r="E57" i="2" l="1"/>
  <c r="B44" i="7"/>
  <c r="B49" i="7"/>
  <c r="C10" i="2"/>
  <c r="B10" i="2" s="1"/>
  <c r="B44" i="3"/>
  <c r="F40" i="2"/>
  <c r="B11" i="2"/>
  <c r="F41" i="2"/>
  <c r="F44" i="2"/>
  <c r="F57" i="2"/>
  <c r="D57" i="2"/>
  <c r="C12" i="2"/>
  <c r="C49" i="2" s="1"/>
  <c r="B57" i="3"/>
  <c r="B57" i="7"/>
  <c r="D32" i="6"/>
  <c r="D34" i="6" s="1"/>
  <c r="D33" i="6"/>
  <c r="D32" i="1"/>
  <c r="D34" i="1" s="1"/>
  <c r="D33" i="1"/>
  <c r="D33" i="5"/>
  <c r="D32" i="5"/>
  <c r="D34" i="5" s="1"/>
  <c r="D33" i="4"/>
  <c r="D35" i="4" s="1"/>
  <c r="D32" i="4"/>
  <c r="D34" i="4" s="1"/>
  <c r="B70" i="4"/>
  <c r="D59" i="4" l="1"/>
  <c r="D35" i="5"/>
  <c r="D59" i="5" s="1"/>
  <c r="D58" i="5"/>
  <c r="D58" i="6"/>
  <c r="B12" i="2"/>
  <c r="B49" i="2" s="1"/>
  <c r="C57" i="2"/>
  <c r="C44" i="2"/>
  <c r="D35" i="1"/>
  <c r="D59" i="1" s="1"/>
  <c r="D58" i="1"/>
  <c r="D35" i="6"/>
  <c r="D59" i="6" s="1"/>
  <c r="D58" i="4"/>
  <c r="B50" i="4"/>
  <c r="B45" i="4"/>
  <c r="B57" i="4"/>
  <c r="B44" i="4"/>
  <c r="B62" i="4"/>
  <c r="B23" i="4"/>
  <c r="B69" i="4" s="1"/>
  <c r="E20" i="5"/>
  <c r="F20" i="5"/>
  <c r="D20" i="5"/>
  <c r="E20" i="6"/>
  <c r="F20" i="6"/>
  <c r="D20" i="6"/>
  <c r="E20" i="1"/>
  <c r="F20" i="1"/>
  <c r="D20" i="1"/>
  <c r="D18" i="2"/>
  <c r="D16" i="2"/>
  <c r="D18" i="3"/>
  <c r="D16" i="3"/>
  <c r="D18" i="7"/>
  <c r="D16" i="7"/>
  <c r="D63" i="2" l="1"/>
  <c r="D66" i="2"/>
  <c r="D63" i="3"/>
  <c r="D66" i="3"/>
  <c r="D63" i="7"/>
  <c r="D66" i="7"/>
  <c r="C20" i="5"/>
  <c r="C20" i="6"/>
  <c r="B20" i="6" s="1"/>
  <c r="B54" i="6" s="1"/>
  <c r="B57" i="2"/>
  <c r="B44" i="2"/>
  <c r="C20" i="1"/>
  <c r="B20" i="1" s="1"/>
  <c r="B51" i="4"/>
  <c r="D32" i="7"/>
  <c r="D34" i="7" s="1"/>
  <c r="D32" i="3"/>
  <c r="D34" i="3" s="1"/>
  <c r="D32" i="2"/>
  <c r="D34" i="2" s="1"/>
  <c r="B46" i="4"/>
  <c r="B64" i="4" s="1"/>
  <c r="D20" i="7"/>
  <c r="D33" i="7"/>
  <c r="D20" i="2"/>
  <c r="D33" i="2"/>
  <c r="B54" i="4"/>
  <c r="D20" i="3"/>
  <c r="D33" i="3"/>
  <c r="F19" i="2"/>
  <c r="G19" i="2"/>
  <c r="H19" i="2"/>
  <c r="F19" i="3"/>
  <c r="G19" i="3"/>
  <c r="H19" i="3"/>
  <c r="F19" i="7"/>
  <c r="G19" i="7"/>
  <c r="H19" i="7"/>
  <c r="B19" i="7" l="1"/>
  <c r="B19" i="2"/>
  <c r="B20" i="5"/>
  <c r="B54" i="5" s="1"/>
  <c r="B54" i="1"/>
  <c r="D58" i="2"/>
  <c r="D35" i="7"/>
  <c r="D59" i="7" s="1"/>
  <c r="D58" i="7"/>
  <c r="C65" i="2"/>
  <c r="B19" i="3"/>
  <c r="D35" i="3"/>
  <c r="D59" i="3" s="1"/>
  <c r="D58" i="3"/>
  <c r="D35" i="2"/>
  <c r="D59" i="2" s="1"/>
  <c r="F17" i="7"/>
  <c r="G17" i="7"/>
  <c r="H17" i="7"/>
  <c r="E18" i="7"/>
  <c r="E63" i="7" s="1"/>
  <c r="F18" i="7"/>
  <c r="F63" i="7" s="1"/>
  <c r="G18" i="7"/>
  <c r="H18" i="7"/>
  <c r="H50" i="7" s="1"/>
  <c r="H51" i="7" s="1"/>
  <c r="F16" i="7"/>
  <c r="G16" i="7"/>
  <c r="H16" i="7"/>
  <c r="E16" i="7"/>
  <c r="C16" i="7" s="1"/>
  <c r="F17" i="3"/>
  <c r="G17" i="3"/>
  <c r="H17" i="3"/>
  <c r="E18" i="3"/>
  <c r="E63" i="3" s="1"/>
  <c r="F18" i="3"/>
  <c r="G18" i="3"/>
  <c r="G20" i="3" s="1"/>
  <c r="H18" i="3"/>
  <c r="H50" i="3" s="1"/>
  <c r="H51" i="3" s="1"/>
  <c r="F16" i="3"/>
  <c r="G16" i="3"/>
  <c r="H16" i="3"/>
  <c r="E16" i="3"/>
  <c r="C16" i="3" s="1"/>
  <c r="F17" i="2"/>
  <c r="G17" i="2"/>
  <c r="H17" i="2"/>
  <c r="E18" i="2"/>
  <c r="E63" i="2" s="1"/>
  <c r="F18" i="2"/>
  <c r="F63" i="2" s="1"/>
  <c r="G18" i="2"/>
  <c r="H18" i="2"/>
  <c r="F16" i="2"/>
  <c r="G16" i="2"/>
  <c r="H16" i="2"/>
  <c r="E16" i="2"/>
  <c r="C16" i="2" s="1"/>
  <c r="G11" i="2"/>
  <c r="H11" i="2"/>
  <c r="G12" i="2"/>
  <c r="H12" i="2"/>
  <c r="G10" i="2"/>
  <c r="H10" i="2"/>
  <c r="F62" i="2" l="1"/>
  <c r="B40" i="2"/>
  <c r="F62" i="7"/>
  <c r="B40" i="7"/>
  <c r="B17" i="2"/>
  <c r="B62" i="2" s="1"/>
  <c r="F62" i="3"/>
  <c r="B40" i="3"/>
  <c r="F50" i="3"/>
  <c r="F51" i="3" s="1"/>
  <c r="F63" i="3"/>
  <c r="C32" i="7"/>
  <c r="C34" i="7" s="1"/>
  <c r="B16" i="7"/>
  <c r="F66" i="2"/>
  <c r="F50" i="2"/>
  <c r="F51" i="2" s="1"/>
  <c r="F45" i="2"/>
  <c r="F46" i="2" s="1"/>
  <c r="C32" i="2"/>
  <c r="C34" i="2" s="1"/>
  <c r="B16" i="2"/>
  <c r="G20" i="2"/>
  <c r="G45" i="2"/>
  <c r="G46" i="2" s="1"/>
  <c r="G50" i="2"/>
  <c r="G51" i="2" s="1"/>
  <c r="H45" i="2"/>
  <c r="H46" i="2" s="1"/>
  <c r="H50" i="2"/>
  <c r="H51" i="2" s="1"/>
  <c r="E66" i="2"/>
  <c r="C18" i="2"/>
  <c r="C32" i="3"/>
  <c r="C34" i="3" s="1"/>
  <c r="B16" i="3"/>
  <c r="F65" i="2"/>
  <c r="G45" i="7"/>
  <c r="G46" i="7" s="1"/>
  <c r="H45" i="7"/>
  <c r="H46" i="7" s="1"/>
  <c r="G50" i="3"/>
  <c r="G51" i="3" s="1"/>
  <c r="G45" i="3"/>
  <c r="G46" i="3" s="1"/>
  <c r="H45" i="3"/>
  <c r="H46" i="3" s="1"/>
  <c r="G20" i="7"/>
  <c r="G50" i="7"/>
  <c r="G51" i="7" s="1"/>
  <c r="E66" i="7"/>
  <c r="C18" i="7"/>
  <c r="F50" i="7"/>
  <c r="F51" i="7" s="1"/>
  <c r="F66" i="7"/>
  <c r="E66" i="3"/>
  <c r="C18" i="3"/>
  <c r="F66" i="3"/>
  <c r="B65" i="2"/>
  <c r="F45" i="3"/>
  <c r="F46" i="3" s="1"/>
  <c r="F65" i="3"/>
  <c r="F45" i="7"/>
  <c r="F46" i="7" s="1"/>
  <c r="F65" i="7"/>
  <c r="B17" i="7"/>
  <c r="B17" i="3"/>
  <c r="C65" i="7"/>
  <c r="C65" i="3"/>
  <c r="F20" i="2"/>
  <c r="F20" i="3"/>
  <c r="F20" i="7"/>
  <c r="E20" i="2"/>
  <c r="C20" i="2" s="1"/>
  <c r="E20" i="3"/>
  <c r="C20" i="3" s="1"/>
  <c r="E20" i="7"/>
  <c r="C20" i="7" s="1"/>
  <c r="B20" i="3" l="1"/>
  <c r="B20" i="2"/>
  <c r="B65" i="3"/>
  <c r="B62" i="3"/>
  <c r="C63" i="3"/>
  <c r="B41" i="3"/>
  <c r="B20" i="7"/>
  <c r="B65" i="7"/>
  <c r="B62" i="7"/>
  <c r="C63" i="7"/>
  <c r="B41" i="7"/>
  <c r="C63" i="2"/>
  <c r="B41" i="2"/>
  <c r="C33" i="2"/>
  <c r="C66" i="2"/>
  <c r="B18" i="2"/>
  <c r="B63" i="2" s="1"/>
  <c r="C50" i="2"/>
  <c r="C51" i="2" s="1"/>
  <c r="C45" i="2"/>
  <c r="C46" i="2" s="1"/>
  <c r="F64" i="3"/>
  <c r="F64" i="2"/>
  <c r="C45" i="3"/>
  <c r="C46" i="3" s="1"/>
  <c r="C33" i="3"/>
  <c r="C33" i="7"/>
  <c r="C50" i="7"/>
  <c r="C51" i="7" s="1"/>
  <c r="B18" i="7"/>
  <c r="B63" i="7" s="1"/>
  <c r="C66" i="7"/>
  <c r="B18" i="3"/>
  <c r="C66" i="3"/>
  <c r="C50" i="3"/>
  <c r="C51" i="3" s="1"/>
  <c r="C45" i="7"/>
  <c r="C46" i="7" s="1"/>
  <c r="F64" i="7"/>
  <c r="F40" i="4"/>
  <c r="B40" i="4" s="1"/>
  <c r="C64" i="2" l="1"/>
  <c r="B45" i="3"/>
  <c r="B46" i="3" s="1"/>
  <c r="B63" i="3"/>
  <c r="C35" i="2"/>
  <c r="C59" i="2" s="1"/>
  <c r="C58" i="2"/>
  <c r="B66" i="2"/>
  <c r="B50" i="2"/>
  <c r="B51" i="2" s="1"/>
  <c r="B45" i="2"/>
  <c r="B46" i="2" s="1"/>
  <c r="B64" i="2" s="1"/>
  <c r="C35" i="3"/>
  <c r="C59" i="3" s="1"/>
  <c r="C58" i="3"/>
  <c r="C35" i="7"/>
  <c r="C59" i="7" s="1"/>
  <c r="C58" i="7"/>
  <c r="C64" i="3"/>
  <c r="B54" i="2"/>
  <c r="C64" i="7"/>
  <c r="B54" i="3"/>
  <c r="B50" i="7"/>
  <c r="B51" i="7" s="1"/>
  <c r="B66" i="7"/>
  <c r="B66" i="3"/>
  <c r="B50" i="3"/>
  <c r="B51" i="3" s="1"/>
  <c r="B45" i="7"/>
  <c r="B46" i="7" s="1"/>
  <c r="B54" i="7"/>
  <c r="G45" i="4"/>
  <c r="G46" i="4" s="1"/>
  <c r="B64" i="3" l="1"/>
  <c r="B64" i="7"/>
  <c r="B32" i="5"/>
  <c r="F62" i="4"/>
  <c r="E66" i="4"/>
  <c r="F66" i="4"/>
  <c r="F65" i="4"/>
  <c r="F41" i="4" l="1"/>
  <c r="B41" i="4" s="1"/>
  <c r="B33" i="4" l="1"/>
  <c r="B32" i="4"/>
  <c r="B34" i="4" s="1"/>
  <c r="B58" i="4" l="1"/>
  <c r="B24" i="7"/>
  <c r="B70" i="7" s="1"/>
  <c r="B24" i="3"/>
  <c r="B70" i="3" s="1"/>
  <c r="B24" i="2"/>
  <c r="B70" i="2" s="1"/>
  <c r="B23" i="2" l="1"/>
  <c r="B69" i="2" s="1"/>
  <c r="B23" i="7"/>
  <c r="B69" i="7" s="1"/>
  <c r="B23" i="1" l="1"/>
  <c r="B69" i="1" s="1"/>
  <c r="H33" i="7"/>
  <c r="G33" i="7"/>
  <c r="F33" i="7"/>
  <c r="E33" i="7"/>
  <c r="B33" i="7"/>
  <c r="H32" i="7"/>
  <c r="G32" i="7"/>
  <c r="H33" i="3"/>
  <c r="G33" i="3"/>
  <c r="F33" i="3"/>
  <c r="E33" i="3"/>
  <c r="H32" i="3"/>
  <c r="G32" i="3"/>
  <c r="H33" i="2"/>
  <c r="G33" i="2"/>
  <c r="F33" i="2"/>
  <c r="E33" i="2"/>
  <c r="B33" i="2"/>
  <c r="H32" i="2"/>
  <c r="G32" i="2"/>
  <c r="G58" i="3" l="1"/>
  <c r="G58" i="7"/>
  <c r="H58" i="7"/>
  <c r="H58" i="3"/>
  <c r="H58" i="2"/>
  <c r="G58" i="2"/>
  <c r="E35" i="2"/>
  <c r="E35" i="7"/>
  <c r="F35" i="3"/>
  <c r="F35" i="2"/>
  <c r="B33" i="3"/>
  <c r="F35" i="7"/>
  <c r="E35" i="3"/>
  <c r="B23" i="3"/>
  <c r="B69" i="3" s="1"/>
  <c r="B35" i="2"/>
  <c r="B35" i="7" l="1"/>
  <c r="B35" i="3"/>
  <c r="H33" i="1" l="1"/>
  <c r="G33" i="1"/>
  <c r="F33" i="1"/>
  <c r="E33" i="1"/>
  <c r="B33" i="1"/>
  <c r="H32" i="1"/>
  <c r="G32" i="1"/>
  <c r="F32" i="1"/>
  <c r="F34" i="1" s="1"/>
  <c r="E32" i="1"/>
  <c r="E34" i="1" s="1"/>
  <c r="B32" i="1"/>
  <c r="H33" i="6"/>
  <c r="G33" i="6"/>
  <c r="F33" i="6"/>
  <c r="E33" i="6"/>
  <c r="H32" i="6"/>
  <c r="G32" i="6"/>
  <c r="F32" i="6"/>
  <c r="F34" i="6" s="1"/>
  <c r="E32" i="6"/>
  <c r="E34" i="6" s="1"/>
  <c r="B32" i="6"/>
  <c r="H33" i="5"/>
  <c r="G33" i="5"/>
  <c r="F33" i="5"/>
  <c r="E33" i="5"/>
  <c r="H32" i="5"/>
  <c r="G32" i="5"/>
  <c r="H50" i="4"/>
  <c r="H51" i="4" s="1"/>
  <c r="G50" i="4"/>
  <c r="G51" i="4" s="1"/>
  <c r="F50" i="4"/>
  <c r="H45" i="4"/>
  <c r="H46" i="4" s="1"/>
  <c r="F45" i="4"/>
  <c r="F44" i="4"/>
  <c r="H33" i="4"/>
  <c r="G33" i="4"/>
  <c r="F33" i="4"/>
  <c r="E33" i="4"/>
  <c r="B35" i="4"/>
  <c r="B59" i="4" s="1"/>
  <c r="H32" i="4"/>
  <c r="G32" i="4"/>
  <c r="F32" i="4"/>
  <c r="F34" i="4" s="1"/>
  <c r="E32" i="4"/>
  <c r="E34" i="4" s="1"/>
  <c r="H58" i="5" l="1"/>
  <c r="G58" i="6"/>
  <c r="H58" i="6"/>
  <c r="G58" i="5"/>
  <c r="E58" i="6"/>
  <c r="F58" i="6"/>
  <c r="F58" i="1"/>
  <c r="H58" i="1"/>
  <c r="E58" i="1"/>
  <c r="G58" i="1"/>
  <c r="B58" i="1"/>
  <c r="B34" i="1"/>
  <c r="F46" i="4"/>
  <c r="F64" i="4" s="1"/>
  <c r="F35" i="4"/>
  <c r="F59" i="4" s="1"/>
  <c r="F58" i="4"/>
  <c r="B23" i="6"/>
  <c r="B69" i="6" s="1"/>
  <c r="B35" i="1"/>
  <c r="F35" i="1"/>
  <c r="F59" i="1" s="1"/>
  <c r="E35" i="4"/>
  <c r="E59" i="4" s="1"/>
  <c r="E58" i="4"/>
  <c r="B33" i="5"/>
  <c r="B58" i="5" s="1"/>
  <c r="E35" i="6"/>
  <c r="E59" i="6" s="1"/>
  <c r="E35" i="1"/>
  <c r="E59" i="1" s="1"/>
  <c r="G58" i="4"/>
  <c r="H58" i="4"/>
  <c r="E35" i="5"/>
  <c r="F51" i="4"/>
  <c r="B34" i="6"/>
  <c r="B33" i="6"/>
  <c r="B58" i="6" s="1"/>
  <c r="F35" i="6"/>
  <c r="F59" i="6" s="1"/>
  <c r="B23" i="5"/>
  <c r="B69" i="5" s="1"/>
  <c r="E32" i="5"/>
  <c r="E58" i="5" s="1"/>
  <c r="F35" i="5"/>
  <c r="B59" i="1" l="1"/>
  <c r="B34" i="5"/>
  <c r="E34" i="5"/>
  <c r="E59" i="5" s="1"/>
  <c r="B35" i="5"/>
  <c r="E32" i="3"/>
  <c r="E58" i="3" s="1"/>
  <c r="F32" i="5"/>
  <c r="F58" i="5" s="1"/>
  <c r="E32" i="2"/>
  <c r="E58" i="2" s="1"/>
  <c r="E32" i="7"/>
  <c r="E58" i="7" s="1"/>
  <c r="B35" i="6"/>
  <c r="B59" i="6" s="1"/>
  <c r="B59" i="5" l="1"/>
  <c r="E34" i="3"/>
  <c r="E59" i="3" s="1"/>
  <c r="E34" i="7"/>
  <c r="E59" i="7" s="1"/>
  <c r="E34" i="2"/>
  <c r="E59" i="2" s="1"/>
  <c r="B32" i="2"/>
  <c r="B58" i="2" s="1"/>
  <c r="F32" i="2"/>
  <c r="F58" i="2" s="1"/>
  <c r="F34" i="5"/>
  <c r="F59" i="5" s="1"/>
  <c r="B32" i="7"/>
  <c r="B58" i="7" s="1"/>
  <c r="F32" i="7"/>
  <c r="F58" i="7" s="1"/>
  <c r="F32" i="3"/>
  <c r="F58" i="3" s="1"/>
  <c r="F34" i="3" l="1"/>
  <c r="F59" i="3" s="1"/>
  <c r="F34" i="2"/>
  <c r="F59" i="2" s="1"/>
  <c r="F34" i="7"/>
  <c r="F59" i="7" s="1"/>
  <c r="B34" i="7"/>
  <c r="B59" i="7" s="1"/>
  <c r="B34" i="2"/>
  <c r="B59" i="2" s="1"/>
  <c r="B32" i="3"/>
  <c r="B58" i="3" s="1"/>
  <c r="B34" i="3" l="1"/>
  <c r="B59" i="3" s="1"/>
</calcChain>
</file>

<file path=xl/comments1.xml><?xml version="1.0" encoding="utf-8"?>
<comments xmlns="http://schemas.openxmlformats.org/spreadsheetml/2006/main">
  <authors>
    <author>Diego Astorga</author>
    <author>Catherine 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pago de aguinaldos</t>
        </r>
      </text>
    </comment>
  </commentList>
</comments>
</file>

<file path=xl/comments2.xml><?xml version="1.0" encoding="utf-8"?>
<comments xmlns="http://schemas.openxmlformats.org/spreadsheetml/2006/main">
  <authors>
    <author>Diego Astorga</author>
    <author>catherine.mata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Utilizando el monto promedio por pensión</t>
        </r>
      </text>
    </comment>
  </commentList>
</comments>
</file>

<file path=xl/comments3.xml><?xml version="1.0" encoding="utf-8"?>
<comments xmlns="http://schemas.openxmlformats.org/spreadsheetml/2006/main">
  <authors>
    <author>Diego Astorga</author>
    <author>catherine.mata</author>
    <author>Catherine 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16" authorId="1" shapeId="0">
      <text>
        <r>
          <rPr>
            <b/>
            <sz val="9"/>
            <color indexed="81"/>
            <rFont val="Tahoma"/>
            <family val="2"/>
          </rPr>
          <t>catherine.mata:</t>
        </r>
        <r>
          <rPr>
            <sz val="9"/>
            <color indexed="81"/>
            <rFont val="Tahoma"/>
            <family val="2"/>
          </rPr>
          <t xml:space="preserve">
Utilizando el monto promedio por pensión</t>
        </r>
      </text>
    </comment>
    <comment ref="H19" authorId="2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gasto administrativo + asignaciones globales</t>
        </r>
      </text>
    </comment>
  </commentList>
</comments>
</file>

<file path=xl/comments4.xml><?xml version="1.0" encoding="utf-8"?>
<comments xmlns="http://schemas.openxmlformats.org/spreadsheetml/2006/main">
  <authors>
    <author>Diego Astorga</author>
    <author>Catherine</author>
    <author>Catherine Mata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C17" authorId="1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Incluye pago de aguinaldo
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Incluye pago de aguinaldo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Incluye pago de aguinaldo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Incluye pago de aguinaldo</t>
        </r>
      </text>
    </comment>
    <comment ref="H19" authorId="2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gasto administrativo + asignaciones globales</t>
        </r>
      </text>
    </comment>
  </commentList>
</comments>
</file>

<file path=xl/comments5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6.xml><?xml version="1.0" encoding="utf-8"?>
<comments xmlns="http://schemas.openxmlformats.org/spreadsheetml/2006/main">
  <authors>
    <author>Diego Astorga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</commentList>
</comments>
</file>

<file path=xl/comments7.xml><?xml version="1.0" encoding="utf-8"?>
<comments xmlns="http://schemas.openxmlformats.org/spreadsheetml/2006/main">
  <authors>
    <author>Diego Astorga</author>
    <author>Juan Diego Trejos</author>
  </authors>
  <commentList>
    <comment ref="A9" authorId="0" shapeId="0">
      <text>
        <r>
          <rPr>
            <b/>
            <sz val="9"/>
            <color indexed="81"/>
            <rFont val="Tahoma"/>
            <family val="2"/>
          </rPr>
          <t>Diego Astorga:</t>
        </r>
        <r>
          <rPr>
            <sz val="9"/>
            <color indexed="81"/>
            <rFont val="Tahoma"/>
            <family val="2"/>
          </rPr>
          <t xml:space="preserve">
Promedio de beneficiarios atendidos en el trimestre</t>
        </r>
      </text>
    </comment>
    <comment ref="A61" authorId="1" shapeId="0">
      <text>
        <r>
          <rPr>
            <b/>
            <sz val="9"/>
            <color indexed="81"/>
            <rFont val="Tahoma"/>
            <family val="2"/>
          </rPr>
          <t>Juan Diego Trejos:</t>
        </r>
        <r>
          <rPr>
            <sz val="9"/>
            <color indexed="81"/>
            <rFont val="Tahoma"/>
            <family val="2"/>
          </rPr>
          <t xml:space="preserve">
Incluye aguinaldo.</t>
        </r>
      </text>
    </comment>
  </commentList>
</comments>
</file>

<file path=xl/sharedStrings.xml><?xml version="1.0" encoding="utf-8"?>
<sst xmlns="http://schemas.openxmlformats.org/spreadsheetml/2006/main" count="519" uniqueCount="132">
  <si>
    <t>Indicador</t>
  </si>
  <si>
    <t>Productos</t>
  </si>
  <si>
    <t>Cuotas SS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</si>
  <si>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</si>
  <si>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</si>
  <si>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</si>
  <si>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</si>
  <si>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</si>
  <si>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</si>
  <si>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</si>
  <si>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</si>
  <si>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</si>
  <si>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</si>
  <si>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</si>
  <si>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</si>
  <si>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</si>
  <si>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</si>
  <si>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</si>
  <si>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</si>
  <si>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</si>
  <si>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</si>
  <si>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</si>
  <si>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</si>
  <si>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</si>
  <si>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</si>
  <si>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</si>
  <si>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</si>
  <si>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</si>
  <si>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</si>
  <si>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</si>
  <si>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</si>
  <si>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</si>
  <si>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</si>
  <si>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</si>
  <si>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</si>
  <si>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</si>
  <si>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</si>
  <si>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</si>
  <si>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</si>
  <si>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Pensión Ordinaria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</si>
  <si>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</si>
  <si>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</si>
  <si>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</si>
  <si>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</si>
  <si>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</si>
  <si>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</si>
  <si>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 xml:space="preserve">Beneficiarios: personas (promedio mensual) </t>
  </si>
  <si>
    <t>En el cuarto Trimestre se incluyen los gastos de aguinaldo</t>
  </si>
  <si>
    <t>Notas:</t>
  </si>
  <si>
    <t>Para cobertura se utiliza el promedio de beneficiarios atendidos en el período.</t>
  </si>
  <si>
    <t>los beneficiarios son los mismos de un mes a otro en su mayoría, sin embargo, puede haber entradas y salidas de algunos beneficiarios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</si>
  <si>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</si>
  <si>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</si>
  <si>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</si>
  <si>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</si>
  <si>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</si>
  <si>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</si>
  <si>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</si>
  <si>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</si>
  <si>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</si>
  <si>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</si>
  <si>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</si>
  <si>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</si>
  <si>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</si>
  <si>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</si>
  <si>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</si>
  <si>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</si>
  <si>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</si>
  <si>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</si>
  <si>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</si>
  <si>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</si>
  <si>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 2012</t>
  </si>
  <si>
    <t>IPC ( 2012)</t>
  </si>
  <si>
    <t>Gasto efectivo real  2012</t>
  </si>
  <si>
    <t>Gasto efectivo real por beneficiario  2012</t>
  </si>
  <si>
    <t>Adultos Mayores</t>
  </si>
  <si>
    <t>Otros</t>
  </si>
  <si>
    <t>n.d.</t>
  </si>
  <si>
    <t>Población objetivo:</t>
  </si>
  <si>
    <t>Pensiones ordinarias: adultos mayores de 64 años pobres sin pensión contributiva ni seguro contributivo.</t>
  </si>
  <si>
    <t>Pensiones parálisis cerebral severa: personas pobres que no pueden hablar, caminar ni mover los brazos o manos (dos de tres opciones)</t>
  </si>
  <si>
    <t>Pensión Especial</t>
  </si>
  <si>
    <t>Indicadores propuestos aplicado a RNC.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</si>
  <si>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</si>
  <si>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</si>
  <si>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</si>
  <si>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</si>
  <si>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</si>
  <si>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</si>
  <si>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</si>
  <si>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Metas RNC 2013</t>
  </si>
  <si>
    <t>Indicadores propuestos aplicado a RNC. Segundo trimestre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</si>
  <si>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</si>
  <si>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</si>
  <si>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</si>
  <si>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</si>
  <si>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</si>
  <si>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</si>
  <si>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Indicadores propuestos aplicado a RNC. Tercer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</si>
  <si>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</si>
  <si>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</si>
  <si>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</si>
  <si>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</si>
  <si>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</si>
  <si>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</si>
  <si>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propuestos aplicado a RNC. Cuarto trimestre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</si>
  <si>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</si>
  <si>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</si>
  <si>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</si>
  <si>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</si>
  <si>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</si>
  <si>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</si>
  <si>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propuestos aplicado a RNC. Primer Semestre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</si>
  <si>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</si>
  <si>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</si>
  <si>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</si>
  <si>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</si>
  <si>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</si>
  <si>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</si>
  <si>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Indicadores propuestos aplicado a RNC. Tercer trimestre ACUMULADO 2013</t>
  </si>
  <si>
    <t>Indicadores propuestos aplicado a RNC. Año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</si>
  <si>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</si>
  <si>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</si>
  <si>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</si>
  <si>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</si>
  <si>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</si>
  <si>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</si>
  <si>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Informes trimestrales RNC 2012 y 2013</t>
  </si>
  <si>
    <t>ENAHO 2012</t>
  </si>
  <si>
    <t>Total</t>
  </si>
  <si>
    <t xml:space="preserve"> </t>
  </si>
  <si>
    <t>Fecha de actualización: 09/09/2014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</si>
</sst>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___"/>
    <numFmt numFmtId="165" formatCode="#,##0.0"/>
    <numFmt numFmtId="166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4" fontId="0" fillId="0" borderId="0" xfId="0" applyNumberFormat="1"/>
    <xf numFmtId="164" fontId="0" fillId="3" borderId="0" xfId="0" applyNumberFormat="1" applyFill="1"/>
    <xf numFmtId="164" fontId="0" fillId="0" borderId="0" xfId="0" applyNumberFormat="1" applyFill="1"/>
    <xf numFmtId="0" fontId="0" fillId="2" borderId="0" xfId="0" applyFill="1"/>
    <xf numFmtId="164" fontId="0" fillId="2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 applyFill="1"/>
    <xf numFmtId="3" fontId="0" fillId="0" borderId="0" xfId="0" applyNumberFormat="1" applyFill="1"/>
    <xf numFmtId="2" fontId="0" fillId="3" borderId="0" xfId="0" applyNumberFormat="1" applyFill="1"/>
    <xf numFmtId="166" fontId="0" fillId="0" borderId="0" xfId="1" applyNumberFormat="1" applyFont="1" applyFill="1"/>
    <xf numFmtId="0" fontId="0" fillId="0" borderId="0" xfId="0" applyFill="1"/>
    <xf numFmtId="2" fontId="0" fillId="0" borderId="0" xfId="0" applyNumberFormat="1"/>
    <xf numFmtId="165" fontId="0" fillId="3" borderId="0" xfId="0" applyNumberFormat="1" applyFill="1"/>
    <xf numFmtId="166" fontId="6" fillId="0" borderId="0" xfId="1" applyNumberFormat="1" applyFont="1" applyAlignment="1">
      <alignment horizontal="center"/>
    </xf>
    <xf numFmtId="0" fontId="0" fillId="0" borderId="2" xfId="0" applyBorder="1" applyAlignment="1"/>
    <xf numFmtId="0" fontId="7" fillId="0" borderId="0" xfId="0" applyFont="1" applyFill="1"/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166" fontId="0" fillId="0" borderId="0" xfId="1" applyNumberFormat="1" applyFont="1"/>
    <xf numFmtId="166" fontId="0" fillId="0" borderId="0" xfId="1" applyNumberFormat="1" applyFont="1" applyAlignment="1">
      <alignment horizontal="left" indent="3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6" fillId="0" borderId="0" xfId="0" applyFont="1" applyAlignment="1">
      <alignment horizontal="center"/>
    </xf>
    <xf numFmtId="166" fontId="7" fillId="0" borderId="0" xfId="1" applyNumberFormat="1" applyFont="1" applyFill="1"/>
    <xf numFmtId="164" fontId="7" fillId="0" borderId="0" xfId="0" applyNumberFormat="1" applyFont="1"/>
    <xf numFmtId="3" fontId="8" fillId="0" borderId="0" xfId="0" applyNumberFormat="1" applyFont="1"/>
    <xf numFmtId="0" fontId="0" fillId="0" borderId="0" xfId="0" applyFill="1" applyAlignment="1">
      <alignment horizontal="left" indent="1"/>
    </xf>
    <xf numFmtId="0" fontId="0" fillId="0" borderId="4" xfId="0" applyBorder="1" applyAlignment="1"/>
    <xf numFmtId="9" fontId="0" fillId="0" borderId="0" xfId="2" applyFont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RNC: Indicadores de Cobertura</a:t>
            </a:r>
            <a:r>
              <a:rPr lang="es-CR" sz="1400" baseline="0"/>
              <a:t> Potencial 2013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(Anual!$B$40,Anual!$D$40,Anual!$F$40)</c:f>
              <c:numCache>
                <c:formatCode>#,##0.0____</c:formatCode>
                <c:ptCount val="3"/>
                <c:pt idx="0">
                  <c:v>107.72299795191229</c:v>
                </c:pt>
                <c:pt idx="1">
                  <c:v>113.87483435730634</c:v>
                </c:pt>
                <c:pt idx="2">
                  <c:v>55.401506651707003</c:v>
                </c:pt>
              </c:numCache>
            </c:numRef>
          </c:val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(Anual!$B$41,Anual!$D$41,Anual!$F$41)</c:f>
              <c:numCache>
                <c:formatCode>#,##0.0____</c:formatCode>
                <c:ptCount val="3"/>
                <c:pt idx="0">
                  <c:v>79.110631025439531</c:v>
                </c:pt>
                <c:pt idx="1">
                  <c:v>81.839437015620604</c:v>
                </c:pt>
                <c:pt idx="2">
                  <c:v>51.220815301597476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5370144"/>
        <c:axId val="395370536"/>
      </c:barChart>
      <c:catAx>
        <c:axId val="395370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5370536"/>
        <c:crosses val="autoZero"/>
        <c:auto val="1"/>
        <c:lblAlgn val="ctr"/>
        <c:lblOffset val="100"/>
        <c:noMultiLvlLbl val="0"/>
      </c:catAx>
      <c:valAx>
        <c:axId val="395370536"/>
        <c:scaling>
          <c:orientation val="minMax"/>
        </c:scaling>
        <c:delete val="1"/>
        <c:axPos val="l"/>
        <c:numFmt formatCode="#,##0.0____" sourceLinked="1"/>
        <c:majorTickMark val="out"/>
        <c:minorTickMark val="none"/>
        <c:tickLblPos val="none"/>
        <c:crossAx val="3953701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RNC: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(Anual!$B$44:$C$44,Anual!$F$44)</c:f>
              <c:numCache>
                <c:formatCode>#,##0.0____</c:formatCode>
                <c:ptCount val="3"/>
                <c:pt idx="0">
                  <c:v>99.851336272588725</c:v>
                </c:pt>
                <c:pt idx="1">
                  <c:v>100.1218340341876</c:v>
                </c:pt>
                <c:pt idx="2">
                  <c:v>92.453830946525855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(Anual!$B$45:$C$45,Anual!$F$45:$H$45)</c:f>
              <c:numCache>
                <c:formatCode>#,##0.0____</c:formatCode>
                <c:ptCount val="5"/>
                <c:pt idx="0">
                  <c:v>100.03656903124416</c:v>
                </c:pt>
                <c:pt idx="1">
                  <c:v>101.52971124936197</c:v>
                </c:pt>
                <c:pt idx="2">
                  <c:v>84.488091942522061</c:v>
                </c:pt>
                <c:pt idx="3">
                  <c:v>102.41156970016524</c:v>
                </c:pt>
                <c:pt idx="4">
                  <c:v>100.000000001956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(Anual!$B$46:$C$46,Anual!$F$46:$H$46)</c:f>
              <c:numCache>
                <c:formatCode>#,##0.0____</c:formatCode>
                <c:ptCount val="5"/>
                <c:pt idx="0">
                  <c:v>99.943952651916447</c:v>
                </c:pt>
                <c:pt idx="1">
                  <c:v>100.82577264177479</c:v>
                </c:pt>
                <c:pt idx="2">
                  <c:v>88.470961444523965</c:v>
                </c:pt>
                <c:pt idx="3">
                  <c:v>102.41156970016524</c:v>
                </c:pt>
                <c:pt idx="4">
                  <c:v>100.000000001956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27232592"/>
        <c:axId val="227232984"/>
      </c:barChart>
      <c:catAx>
        <c:axId val="22723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7232984"/>
        <c:crosses val="autoZero"/>
        <c:auto val="1"/>
        <c:lblAlgn val="ctr"/>
        <c:lblOffset val="100"/>
        <c:noMultiLvlLbl val="0"/>
      </c:catAx>
      <c:valAx>
        <c:axId val="227232984"/>
        <c:scaling>
          <c:orientation val="minMax"/>
        </c:scaling>
        <c:delete val="0"/>
        <c:axPos val="l"/>
        <c:majorGridlines/>
        <c:numFmt formatCode="#,##0.0____" sourceLinked="1"/>
        <c:majorTickMark val="none"/>
        <c:minorTickMark val="none"/>
        <c:tickLblPos val="nextTo"/>
        <c:crossAx val="227232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05621172353455"/>
          <c:y val="0.72801509186351721"/>
          <c:w val="0.74933202099737528"/>
          <c:h val="0.2442071303587052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600"/>
              <a:t>RNC: Indicadores de Expansión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(Anual!$B$57:$C$57,Anual!$F$57)</c:f>
              <c:numCache>
                <c:formatCode>#,##0.0____</c:formatCode>
                <c:ptCount val="3"/>
                <c:pt idx="0">
                  <c:v>3.5959364938185301</c:v>
                </c:pt>
                <c:pt idx="1">
                  <c:v>3.4469504102948578</c:v>
                </c:pt>
                <c:pt idx="2">
                  <c:v>8.2115243523900983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(Anual!$B$58:$C$58,Anual!$F$58:$H$58)</c:f>
              <c:numCache>
                <c:formatCode>#,##0.0____</c:formatCode>
                <c:ptCount val="5"/>
                <c:pt idx="0">
                  <c:v>2.0245403556119035</c:v>
                </c:pt>
                <c:pt idx="1">
                  <c:v>5.8468922631293108</c:v>
                </c:pt>
                <c:pt idx="2">
                  <c:v>-0.60884420149144303</c:v>
                </c:pt>
                <c:pt idx="3">
                  <c:v>-19.437692924521066</c:v>
                </c:pt>
                <c:pt idx="4">
                  <c:v>13.114604468638657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(Anual!$B$4,Anual!$C$5,Anual!$F$5,Anual!$G$4,Anual!$H$4)</c:f>
              <c:strCache>
                <c:ptCount val="5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  <c:pt idx="3">
                  <c:v>Cuotas SS</c:v>
                </c:pt>
                <c:pt idx="4">
                  <c:v>Otros gastos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-1.5168511346971392</c:v>
                </c:pt>
                <c:pt idx="1">
                  <c:v>2.3199735161991253</c:v>
                </c:pt>
                <c:pt idx="2">
                  <c:v>2.2683714920888498</c:v>
                </c:pt>
                <c:pt idx="3">
                  <c:v>2.4511034126679432</c:v>
                </c:pt>
                <c:pt idx="4">
                  <c:v>-8.1510436218956261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27233768"/>
        <c:axId val="227234160"/>
      </c:barChart>
      <c:catAx>
        <c:axId val="227233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7234160"/>
        <c:crosses val="autoZero"/>
        <c:auto val="1"/>
        <c:lblAlgn val="ctr"/>
        <c:lblOffset val="500"/>
        <c:noMultiLvlLbl val="0"/>
      </c:catAx>
      <c:valAx>
        <c:axId val="227234160"/>
        <c:scaling>
          <c:orientation val="minMax"/>
        </c:scaling>
        <c:delete val="0"/>
        <c:axPos val="l"/>
        <c:majorGridlines/>
        <c:numFmt formatCode="#,##0.0____" sourceLinked="1"/>
        <c:majorTickMark val="none"/>
        <c:minorTickMark val="none"/>
        <c:tickLblPos val="nextTo"/>
        <c:crossAx val="2272337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RNC: Indicadores de Gasto Medio Mensual por Beneficiario</a:t>
            </a:r>
            <a:r>
              <a:rPr lang="es-CR" sz="1400" baseline="0"/>
              <a:t> 2013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(Anual!$B$62:$C$62,Anual!$F$62)</c:f>
              <c:numCache>
                <c:formatCode>#,##0</c:formatCode>
                <c:ptCount val="3"/>
                <c:pt idx="0">
                  <c:v>95814.034585643138</c:v>
                </c:pt>
                <c:pt idx="1">
                  <c:v>76000.134066645202</c:v>
                </c:pt>
                <c:pt idx="2">
                  <c:v>244377.17108486954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(Anual!$B$63:$C$63,Anual!$F$63)</c:f>
              <c:numCache>
                <c:formatCode>#,##0</c:formatCode>
                <c:ptCount val="3"/>
                <c:pt idx="0">
                  <c:v>95991.777804779995</c:v>
                </c:pt>
                <c:pt idx="1">
                  <c:v>77068.820613738339</c:v>
                </c:pt>
                <c:pt idx="2">
                  <c:v>223321.85359862313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27234944"/>
        <c:axId val="227235336"/>
      </c:barChart>
      <c:catAx>
        <c:axId val="2272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27235336"/>
        <c:crosses val="autoZero"/>
        <c:auto val="1"/>
        <c:lblAlgn val="ctr"/>
        <c:lblOffset val="100"/>
        <c:noMultiLvlLbl val="0"/>
      </c:catAx>
      <c:valAx>
        <c:axId val="22723533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2272349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RNC: Indicadores de Gasto Medio Anual por Beneficiario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(Anual!$B$65:$C$65,Anual!$F$65)</c:f>
              <c:numCache>
                <c:formatCode>#,##0</c:formatCode>
                <c:ptCount val="3"/>
                <c:pt idx="0">
                  <c:v>1149768.4150277176</c:v>
                </c:pt>
                <c:pt idx="1">
                  <c:v>912001.60879974253</c:v>
                </c:pt>
                <c:pt idx="2">
                  <c:v>2932526.0530184344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invertIfNegative val="0"/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(Anual!$B$66:$C$66,Anual!$F$66)</c:f>
              <c:numCache>
                <c:formatCode>#,##0</c:formatCode>
                <c:ptCount val="3"/>
                <c:pt idx="0">
                  <c:v>1151901.3336573597</c:v>
                </c:pt>
                <c:pt idx="1">
                  <c:v>924825.84736486</c:v>
                </c:pt>
                <c:pt idx="2">
                  <c:v>2679862.2431834773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11147368"/>
        <c:axId val="411147760"/>
      </c:barChart>
      <c:catAx>
        <c:axId val="411147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1147760"/>
        <c:crosses val="autoZero"/>
        <c:auto val="1"/>
        <c:lblAlgn val="ctr"/>
        <c:lblOffset val="100"/>
        <c:noMultiLvlLbl val="0"/>
      </c:catAx>
      <c:valAx>
        <c:axId val="4111477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111473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RNC: Índice de eficiencia 2013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(Anual!$B$4,Anual!$C$5,Anual!$F$5)</c:f>
              <c:strCache>
                <c:ptCount val="3"/>
                <c:pt idx="0">
                  <c:v>Total Programa</c:v>
                </c:pt>
                <c:pt idx="1">
                  <c:v>Pensión Ordinaria</c:v>
                </c:pt>
                <c:pt idx="2">
                  <c:v>Pensión Especial</c:v>
                </c:pt>
              </c:strCache>
            </c:strRef>
          </c:cat>
          <c:val>
            <c:numRef>
              <c:f>(Anual!$B$64:$C$64,Anual!$F$64)</c:f>
              <c:numCache>
                <c:formatCode>#,##0.0</c:formatCode>
                <c:ptCount val="3"/>
                <c:pt idx="0">
                  <c:v>99.758891386422007</c:v>
                </c:pt>
                <c:pt idx="1">
                  <c:v>99.427656698589743</c:v>
                </c:pt>
                <c:pt idx="2">
                  <c:v>96.812214893350813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1148544"/>
        <c:axId val="411148936"/>
      </c:barChart>
      <c:catAx>
        <c:axId val="411148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1148936"/>
        <c:crosses val="autoZero"/>
        <c:auto val="1"/>
        <c:lblAlgn val="ctr"/>
        <c:lblOffset val="100"/>
        <c:noMultiLvlLbl val="0"/>
      </c:catAx>
      <c:valAx>
        <c:axId val="411148936"/>
        <c:scaling>
          <c:orientation val="minMax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4111485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RNC: Indicadores de Giro de Recursos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'IV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102.39059770640226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'IV Trimestre'!$B$4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97.700932773233632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1149720"/>
        <c:axId val="411150112"/>
      </c:barChart>
      <c:catAx>
        <c:axId val="411149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1150112"/>
        <c:crosses val="autoZero"/>
        <c:auto val="1"/>
        <c:lblAlgn val="ctr"/>
        <c:lblOffset val="100"/>
        <c:noMultiLvlLbl val="0"/>
      </c:catAx>
      <c:valAx>
        <c:axId val="411150112"/>
        <c:scaling>
          <c:orientation val="minMax"/>
        </c:scaling>
        <c:delete val="1"/>
        <c:axPos val="l"/>
        <c:numFmt formatCode="#,##0.0____" sourceLinked="1"/>
        <c:majorTickMark val="out"/>
        <c:minorTickMark val="none"/>
        <c:tickLblPos val="none"/>
        <c:crossAx val="4111497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752475</xdr:colOff>
      <xdr:row>2</xdr:row>
      <xdr:rowOff>166687</xdr:rowOff>
    </xdr:from>
    <xdr:to>
      <xdr:col>14</xdr:col>
      <xdr:colOff>752475</xdr:colOff>
      <xdr:row>17</xdr:row>
      <xdr:rowOff>33337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19</xdr:row>
      <xdr:rowOff>0</xdr:rowOff>
    </xdr:from>
    <xdr:to>
      <xdr:col>15</xdr:col>
      <xdr:colOff>0</xdr:colOff>
      <xdr:row>33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760940</xdr:colOff>
      <xdr:row>36</xdr:row>
      <xdr:rowOff>64558</xdr:rowOff>
    </xdr:from>
    <xdr:to>
      <xdr:col>16</xdr:col>
      <xdr:colOff>256118</xdr:colOff>
      <xdr:row>52</xdr:row>
      <xdr:rowOff>35983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71966</xdr:colOff>
      <xdr:row>53</xdr:row>
      <xdr:rowOff>97366</xdr:rowOff>
    </xdr:from>
    <xdr:to>
      <xdr:col>15</xdr:col>
      <xdr:colOff>71966</xdr:colOff>
      <xdr:row>67</xdr:row>
      <xdr:rowOff>175683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188383</xdr:colOff>
      <xdr:row>68</xdr:row>
      <xdr:rowOff>179917</xdr:rowOff>
    </xdr:from>
    <xdr:to>
      <xdr:col>15</xdr:col>
      <xdr:colOff>188383</xdr:colOff>
      <xdr:row>83</xdr:row>
      <xdr:rowOff>44450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409575</xdr:colOff>
      <xdr:row>72</xdr:row>
      <xdr:rowOff>28575</xdr:rowOff>
    </xdr:from>
    <xdr:to>
      <xdr:col>8</xdr:col>
      <xdr:colOff>600075</xdr:colOff>
      <xdr:row>86</xdr:row>
      <xdr:rowOff>104775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400050</xdr:colOff>
      <xdr:row>87</xdr:row>
      <xdr:rowOff>180975</xdr:rowOff>
    </xdr:from>
    <xdr:to>
      <xdr:col>8</xdr:col>
      <xdr:colOff>590550</xdr:colOff>
      <xdr:row>102</xdr:row>
      <xdr:rowOff>66675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304800</xdr:colOff>
      <xdr:row>42</xdr:row>
      <xdr:rowOff>180975</xdr:rowOff>
    </xdr:to>
    <xdr:sp macro="" textlink="">
      <xdr:nvSpPr>
        <xdr:cNvPr id="2" name="1 CuadroTexto"/>
        <xdr:cNvSpPr txBox="1"/>
      </xdr:nvSpPr>
      <xdr:spPr>
        <a:xfrm>
          <a:off x="0" y="0"/>
          <a:ext cx="7924800" cy="818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u="sng">
              <a:solidFill>
                <a:sysClr val="windowText" lastClr="000000"/>
              </a:solidFill>
            </a:rPr>
            <a:t>Observaciones</a:t>
          </a:r>
        </a:p>
        <a:p>
          <a:endParaRPr lang="es-CR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La información es proporcionada por las unidades ejecutoras de cada programa. </a:t>
          </a:r>
        </a:p>
        <a:p>
          <a:pPr marL="0" marR="0" indent="0" defTabSz="914400" eaLnBrk="1" fontAlgn="auto" latinLnBrk="0" hangingPunct="1">
            <a:lnSpc>
              <a:spcPct val="200000"/>
            </a:lnSpc>
            <a:spcBef>
              <a:spcPts val="0"/>
            </a:spcBef>
            <a:spcAft>
              <a:spcPts val="1000"/>
            </a:spcAft>
            <a:buClrTx/>
            <a:buSzTx/>
            <a:buFontTx/>
            <a:buNone/>
            <a:tabLst/>
            <a:defRPr/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deben tomar en cuenta las particularidades de cada programa 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En el caso particular de</a:t>
          </a: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 Régimen No Contributivo</a:t>
          </a: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: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gasto efectivo promedio para las Pensiones Ordinarias puede ser más bajo que el programado, debido a que se están reportando todos los beneficiarios (Fodesaf más otras fuentes) pero sólo el gasto Fodesaf. No se puede distinguir entre beneficiarios de acuerdo a la fuente de financiamiento.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aseline="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El último trimestre incluye el pago de aguinaldo.</a:t>
          </a: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beneficiarios son los mismos de un mes a otro en su mayoría; sin embargo, puede haber entradas y salidas de algunos beneficiarios.</a:t>
          </a:r>
          <a:r>
            <a:rPr lang="es-CR"/>
            <a:t> </a:t>
          </a:r>
          <a:endParaRPr lang="es-CR" sz="1100" baseline="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ysClr val="windowText" lastClr="000000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r>
            <a:rPr lang="es-CR" sz="1100">
              <a:solidFill>
                <a:sysClr val="windowText" lastClr="000000"/>
              </a:solidFill>
              <a:effectLst/>
              <a:latin typeface="+mn-lt"/>
              <a:ea typeface="Calibri"/>
              <a:cs typeface="Times New Roman"/>
            </a:rPr>
            <a:t>Se recomienda observar la fórmula utilizada en Excel cuando existan dudas sobre algún resultado obtenido.</a:t>
          </a: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pPr>
            <a:lnSpc>
              <a:spcPct val="200000"/>
            </a:lnSpc>
            <a:spcAft>
              <a:spcPts val="1000"/>
            </a:spcAft>
          </a:pPr>
          <a:endParaRPr lang="es-CR" sz="1100">
            <a:solidFill>
              <a:srgbClr val="1F497D"/>
            </a:solidFill>
            <a:effectLst/>
            <a:latin typeface="+mn-lt"/>
            <a:ea typeface="Calibri"/>
            <a:cs typeface="Times New Roman"/>
          </a:endParaRPr>
        </a:p>
        <a:p>
          <a:endParaRPr lang="es-CR" sz="1100"/>
        </a:p>
        <a:p>
          <a:endParaRPr lang="es-CR" sz="1100"/>
        </a:p>
        <a:p>
          <a:endParaRPr lang="es-CR" sz="1100"/>
        </a:p>
        <a:p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9"/>
  <sheetViews>
    <sheetView zoomScale="80" zoomScaleNormal="80" workbookViewId="0">
      <selection activeCell="A147" sqref="A147:E149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9" width="17.85546875" style="1" bestFit="1" customWidth="1"/>
    <col min="10" max="16384" width="11.42578125" style="1"/>
  </cols>
  <sheetData>
    <row r="1" spans="1:13" x14ac:dyDescent="0.25">
      <c r="F1" s="30"/>
      <c r="G1" s="25"/>
      <c r="H1" s="25"/>
      <c r="I1" s="21">
        <f>(84668.7*1000000)+(7111.4*1000000)</f>
        <v>91780100000</v>
      </c>
      <c r="J1" s="25"/>
      <c r="K1" s="25"/>
      <c r="L1" s="25"/>
      <c r="M1" s="25"/>
    </row>
    <row r="2" spans="1:13" ht="15.75" x14ac:dyDescent="0.25">
      <c r="A2" s="47" t="s">
        <v>82</v>
      </c>
      <c r="B2" s="47"/>
      <c r="C2" s="47"/>
      <c r="D2" s="47"/>
      <c r="E2" s="47"/>
      <c r="F2" s="47"/>
      <c r="G2" s="47"/>
      <c r="H2" s="47"/>
    </row>
    <row r="4" spans="1:13" x14ac:dyDescent="0.25">
      <c r="A4" s="45" t="s">
        <v>0</v>
      </c>
      <c r="B4" s="31"/>
      <c r="C4" s="31"/>
      <c r="D4" s="36"/>
      <c r="E4" s="37" t="s">
        <v>1</v>
      </c>
      <c r="F4" s="29"/>
      <c r="G4" s="45" t="s">
        <v>2</v>
      </c>
      <c r="H4" s="45" t="s">
        <v>3</v>
      </c>
    </row>
    <row r="5" spans="1:13" ht="15.75" thickBot="1" x14ac:dyDescent="0.3">
      <c r="A5" s="46"/>
      <c r="B5" s="32" t="s">
        <v>38</v>
      </c>
      <c r="C5" s="43" t="s">
        <v>39</v>
      </c>
      <c r="D5" s="43"/>
      <c r="E5" s="43"/>
      <c r="F5" s="2" t="s">
        <v>81</v>
      </c>
      <c r="G5" s="46"/>
      <c r="H5" s="46"/>
    </row>
    <row r="6" spans="1:13" ht="15.75" thickTop="1" x14ac:dyDescent="0.25">
      <c r="C6" s="38" t="s">
        <v>129</v>
      </c>
      <c r="D6" s="28" t="s">
        <v>75</v>
      </c>
      <c r="E6" s="28" t="s">
        <v>76</v>
      </c>
    </row>
    <row r="7" spans="1:13" x14ac:dyDescent="0.25">
      <c r="A7" s="3" t="s">
        <v>4</v>
      </c>
    </row>
    <row r="9" spans="1:13" x14ac:dyDescent="0.25">
      <c r="A9" s="1" t="s">
        <v>46</v>
      </c>
    </row>
    <row r="10" spans="1:13" x14ac:dyDescent="0.25">
      <c r="A10" s="4" t="s">
        <v>51</v>
      </c>
      <c r="B10" s="22">
        <f>+C10+F10</f>
        <v>93193.666666666672</v>
      </c>
      <c r="C10" s="22">
        <f>SUM(D10:E10)</f>
        <v>90349</v>
      </c>
      <c r="D10" s="22">
        <v>64595</v>
      </c>
      <c r="E10" s="5">
        <v>25754</v>
      </c>
      <c r="F10" s="5">
        <v>2844.6666666666665</v>
      </c>
      <c r="G10" s="5"/>
    </row>
    <row r="11" spans="1:13" x14ac:dyDescent="0.25">
      <c r="A11" s="4" t="s">
        <v>83</v>
      </c>
      <c r="B11" s="22">
        <f t="shared" ref="B11:B13" si="0">+C11+F11</f>
        <v>97048</v>
      </c>
      <c r="C11" s="22">
        <v>93695</v>
      </c>
      <c r="D11" s="22"/>
      <c r="E11" s="22"/>
      <c r="F11" s="22">
        <v>3353</v>
      </c>
      <c r="G11" s="5"/>
    </row>
    <row r="12" spans="1:13" x14ac:dyDescent="0.25">
      <c r="A12" s="4" t="s">
        <v>84</v>
      </c>
      <c r="B12" s="22">
        <f t="shared" si="0"/>
        <v>96456.666666666672</v>
      </c>
      <c r="C12" s="22">
        <f t="shared" ref="C12:C20" si="1">SUM(D12:E12)</f>
        <v>93314.666666666672</v>
      </c>
      <c r="D12" s="22">
        <v>66859.666666666672</v>
      </c>
      <c r="E12" s="5">
        <v>26455</v>
      </c>
      <c r="F12" s="5">
        <v>3142</v>
      </c>
      <c r="G12" s="5"/>
    </row>
    <row r="13" spans="1:13" x14ac:dyDescent="0.25">
      <c r="A13" s="4" t="s">
        <v>85</v>
      </c>
      <c r="B13" s="22">
        <f t="shared" si="0"/>
        <v>97985</v>
      </c>
      <c r="C13" s="22">
        <v>94528</v>
      </c>
      <c r="D13" s="22"/>
      <c r="E13" s="22"/>
      <c r="F13" s="22">
        <v>3457</v>
      </c>
      <c r="G13" s="5"/>
    </row>
    <row r="14" spans="1:13" x14ac:dyDescent="0.25">
      <c r="C14" s="22"/>
    </row>
    <row r="15" spans="1:13" x14ac:dyDescent="0.25">
      <c r="A15" s="6" t="s">
        <v>5</v>
      </c>
      <c r="C15" s="22"/>
    </row>
    <row r="16" spans="1:13" x14ac:dyDescent="0.25">
      <c r="A16" s="4" t="s">
        <v>51</v>
      </c>
      <c r="B16" s="5">
        <f>+C16+F16+G16+H16</f>
        <v>18334539381.010002</v>
      </c>
      <c r="C16" s="22">
        <f t="shared" si="1"/>
        <v>13634786603.02</v>
      </c>
      <c r="D16" s="5">
        <v>9748253169.4709816</v>
      </c>
      <c r="E16" s="22">
        <v>3886533433.5490189</v>
      </c>
      <c r="F16" s="22">
        <v>1785954017</v>
      </c>
      <c r="G16" s="22">
        <v>2055548760.9900002</v>
      </c>
      <c r="H16" s="22">
        <v>858250000</v>
      </c>
    </row>
    <row r="17" spans="1:8" x14ac:dyDescent="0.25">
      <c r="A17" s="4" t="s">
        <v>83</v>
      </c>
      <c r="B17" s="5">
        <f t="shared" ref="B17:B19" si="2">+C17+F17+G17+H17</f>
        <v>26023450000</v>
      </c>
      <c r="C17" s="5">
        <v>19711100000</v>
      </c>
      <c r="D17" s="5"/>
      <c r="E17" s="22"/>
      <c r="F17" s="22">
        <v>2234000000</v>
      </c>
      <c r="G17" s="22">
        <v>3055850000</v>
      </c>
      <c r="H17" s="22">
        <v>1022500000</v>
      </c>
    </row>
    <row r="18" spans="1:8" x14ac:dyDescent="0.25">
      <c r="A18" s="4" t="s">
        <v>84</v>
      </c>
      <c r="B18" s="5">
        <f t="shared" si="2"/>
        <v>23116897567.299999</v>
      </c>
      <c r="C18" s="22">
        <f t="shared" si="1"/>
        <v>17943967149.649998</v>
      </c>
      <c r="D18" s="5">
        <v>12858037663.169933</v>
      </c>
      <c r="E18" s="22">
        <v>5085929486.4800644</v>
      </c>
      <c r="F18" s="22">
        <v>2108571497.6500001</v>
      </c>
      <c r="G18" s="22">
        <v>2041858920</v>
      </c>
      <c r="H18" s="22">
        <v>1022500000</v>
      </c>
    </row>
    <row r="19" spans="1:8" x14ac:dyDescent="0.25">
      <c r="A19" s="4" t="s">
        <v>85</v>
      </c>
      <c r="B19" s="5">
        <f t="shared" si="2"/>
        <v>112658908378.0759</v>
      </c>
      <c r="C19" s="22">
        <v>86209232075.817673</v>
      </c>
      <c r="D19" s="22"/>
      <c r="E19" s="22"/>
      <c r="F19" s="22">
        <v>10136276302.258219</v>
      </c>
      <c r="G19" s="22">
        <v>12223400000</v>
      </c>
      <c r="H19" s="22">
        <v>4090000000</v>
      </c>
    </row>
    <row r="20" spans="1:8" x14ac:dyDescent="0.25">
      <c r="A20" s="4" t="s">
        <v>86</v>
      </c>
      <c r="B20" s="41">
        <f>C20+F20+G20</f>
        <v>22094397567.299999</v>
      </c>
      <c r="C20" s="22">
        <f t="shared" si="1"/>
        <v>17943967149.649998</v>
      </c>
      <c r="D20" s="5">
        <f>D18</f>
        <v>12858037663.169933</v>
      </c>
      <c r="E20" s="5">
        <f t="shared" ref="E20:G20" si="3">E18</f>
        <v>5085929486.4800644</v>
      </c>
      <c r="F20" s="5">
        <f t="shared" si="3"/>
        <v>2108571497.6500001</v>
      </c>
      <c r="G20" s="41">
        <f t="shared" si="3"/>
        <v>2041858920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83</v>
      </c>
      <c r="B23" s="8">
        <f>+B17</f>
        <v>26023450000</v>
      </c>
      <c r="C23" s="8"/>
      <c r="D23" s="8"/>
      <c r="E23" s="8"/>
      <c r="F23" s="8"/>
      <c r="G23" s="8"/>
      <c r="H23" s="8"/>
    </row>
    <row r="24" spans="1:8" x14ac:dyDescent="0.25">
      <c r="A24" s="9" t="s">
        <v>84</v>
      </c>
      <c r="B24" s="8">
        <v>29152956455.769997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52</v>
      </c>
      <c r="B27" s="23">
        <v>1.5037478319333335</v>
      </c>
      <c r="C27" s="23">
        <v>1.5037478319333335</v>
      </c>
      <c r="D27" s="23">
        <v>1.5037478319333335</v>
      </c>
      <c r="E27" s="23">
        <v>1.5037478319333335</v>
      </c>
      <c r="F27" s="23">
        <v>1.5037478319333335</v>
      </c>
      <c r="G27" s="23">
        <v>1.5037478319333335</v>
      </c>
      <c r="H27" s="23">
        <v>1.5037478319333335</v>
      </c>
    </row>
    <row r="28" spans="1:8" x14ac:dyDescent="0.25">
      <c r="A28" s="10" t="s">
        <v>87</v>
      </c>
      <c r="B28" s="23">
        <v>1.6</v>
      </c>
      <c r="C28" s="23">
        <v>1.6</v>
      </c>
      <c r="D28" s="23">
        <v>1.6</v>
      </c>
      <c r="E28" s="23">
        <v>1.6</v>
      </c>
      <c r="F28" s="23">
        <v>1.6</v>
      </c>
      <c r="G28" s="23">
        <v>1.6</v>
      </c>
      <c r="H28" s="23">
        <v>1.6</v>
      </c>
    </row>
    <row r="29" spans="1:8" x14ac:dyDescent="0.25">
      <c r="A29" s="4" t="s">
        <v>8</v>
      </c>
      <c r="B29" s="24">
        <f>+D29+F29</f>
        <v>89249</v>
      </c>
      <c r="C29" s="39"/>
      <c r="D29" s="24">
        <v>83010</v>
      </c>
      <c r="E29" s="24" t="s">
        <v>77</v>
      </c>
      <c r="F29" s="24">
        <v>6239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53</v>
      </c>
      <c r="B32" s="13">
        <f>B16/B27</f>
        <v>12192562470.688793</v>
      </c>
      <c r="C32" s="13">
        <f t="shared" ref="C32:D32" si="4">C16/C27</f>
        <v>9067202833.79566</v>
      </c>
      <c r="D32" s="13">
        <f t="shared" si="4"/>
        <v>6482638220.6236534</v>
      </c>
      <c r="E32" s="13">
        <f t="shared" ref="E32:H32" si="5">E16/E27</f>
        <v>2584564613.1720061</v>
      </c>
      <c r="F32" s="13">
        <f t="shared" si="5"/>
        <v>1187668556.5716431</v>
      </c>
      <c r="G32" s="13">
        <f t="shared" si="5"/>
        <v>1366950440.3189924</v>
      </c>
      <c r="H32" s="13">
        <f t="shared" si="5"/>
        <v>570740640.00249827</v>
      </c>
    </row>
    <row r="33" spans="1:8" x14ac:dyDescent="0.25">
      <c r="A33" s="12" t="s">
        <v>88</v>
      </c>
      <c r="B33" s="13">
        <f>B18/B28</f>
        <v>14448060979.562498</v>
      </c>
      <c r="C33" s="13">
        <f t="shared" ref="C33:D33" si="6">C18/C28</f>
        <v>11214979468.531248</v>
      </c>
      <c r="D33" s="13">
        <f t="shared" si="6"/>
        <v>8036273539.4812078</v>
      </c>
      <c r="E33" s="13">
        <f t="shared" ref="E33:H33" si="7">E18/E28</f>
        <v>3178705929.0500402</v>
      </c>
      <c r="F33" s="13">
        <f t="shared" si="7"/>
        <v>1317857186.03125</v>
      </c>
      <c r="G33" s="13">
        <f t="shared" si="7"/>
        <v>1276161825</v>
      </c>
      <c r="H33" s="13">
        <f t="shared" si="7"/>
        <v>639062500</v>
      </c>
    </row>
    <row r="34" spans="1:8" x14ac:dyDescent="0.25">
      <c r="A34" s="12" t="s">
        <v>54</v>
      </c>
      <c r="B34" s="13">
        <f>B32/B10</f>
        <v>130830.37621321327</v>
      </c>
      <c r="C34" s="13">
        <f t="shared" ref="C34:D34" si="8">C32/C10</f>
        <v>100357.53393834642</v>
      </c>
      <c r="D34" s="13">
        <f t="shared" si="8"/>
        <v>100358.20451464747</v>
      </c>
      <c r="E34" s="13">
        <f t="shared" ref="E34:F34" si="9">E32/E10</f>
        <v>100355.85202966553</v>
      </c>
      <c r="F34" s="13">
        <f t="shared" si="9"/>
        <v>417507.10917681386</v>
      </c>
      <c r="G34" s="13"/>
      <c r="H34" s="13"/>
    </row>
    <row r="35" spans="1:8" x14ac:dyDescent="0.25">
      <c r="A35" s="12" t="s">
        <v>89</v>
      </c>
      <c r="B35" s="13">
        <f>B33/B12</f>
        <v>149788.10152637624</v>
      </c>
      <c r="C35" s="13">
        <f t="shared" ref="C35:D35" si="10">C33/C12</f>
        <v>120184.53121193433</v>
      </c>
      <c r="D35" s="13">
        <f t="shared" si="10"/>
        <v>120196.13528058083</v>
      </c>
      <c r="E35" s="13">
        <f t="shared" ref="E35:F35" si="11">E33/E12</f>
        <v>120155.20427329579</v>
      </c>
      <c r="F35" s="13">
        <f t="shared" si="11"/>
        <v>419432.58626074158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25" t="s">
        <v>12</v>
      </c>
      <c r="B40" s="14">
        <f>((D40*C17+F40*F17)/(C17+F17))</f>
        <v>106.85260480324693</v>
      </c>
      <c r="C40" s="14"/>
      <c r="D40" s="14">
        <f>(C11)/D29*100</f>
        <v>112.8719431393808</v>
      </c>
      <c r="E40" s="14"/>
      <c r="F40" s="14">
        <f>(F11)/F29*100</f>
        <v>53.742586953037339</v>
      </c>
      <c r="G40" s="14"/>
    </row>
    <row r="41" spans="1:8" x14ac:dyDescent="0.25">
      <c r="A41" s="25" t="s">
        <v>13</v>
      </c>
      <c r="B41" s="14">
        <f>((D41*C18+F41*F18)/(C18+F18))</f>
        <v>77.370247770251069</v>
      </c>
      <c r="C41" s="40"/>
      <c r="D41" s="14">
        <f>(D12)/D29*100</f>
        <v>80.544111151266918</v>
      </c>
      <c r="E41" s="14"/>
      <c r="F41" s="14">
        <f t="shared" ref="F41" si="12">(F12)/F29*100</f>
        <v>50.360634717102101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99.390679526282526</v>
      </c>
      <c r="C44" s="14">
        <f>C12/C11*100</f>
        <v>99.594072967251904</v>
      </c>
      <c r="D44" s="16"/>
      <c r="E44" s="16"/>
      <c r="F44" s="14">
        <f>F12/F11*100</f>
        <v>93.707127945123773</v>
      </c>
      <c r="G44" s="14"/>
      <c r="H44" s="14"/>
    </row>
    <row r="45" spans="1:8" x14ac:dyDescent="0.25">
      <c r="A45" s="1" t="s">
        <v>16</v>
      </c>
      <c r="B45" s="14">
        <f>B18/B17*100</f>
        <v>88.831025737555933</v>
      </c>
      <c r="C45" s="14">
        <f>C18/C17*100</f>
        <v>91.034833924286303</v>
      </c>
      <c r="D45" s="16"/>
      <c r="E45" s="16"/>
      <c r="F45" s="14">
        <f>F18/F17*100</f>
        <v>94.385474380035816</v>
      </c>
      <c r="G45" s="14">
        <f>G18/G17*100</f>
        <v>66.818034916635298</v>
      </c>
      <c r="H45" s="14">
        <f>H18/H17*100</f>
        <v>100</v>
      </c>
    </row>
    <row r="46" spans="1:8" x14ac:dyDescent="0.25">
      <c r="A46" s="12" t="s">
        <v>17</v>
      </c>
      <c r="B46" s="15">
        <f>AVERAGE(B44:B45)</f>
        <v>94.110852631919229</v>
      </c>
      <c r="C46" s="15">
        <f>AVERAGE(C44:C45)</f>
        <v>95.314453445769104</v>
      </c>
      <c r="D46" s="16"/>
      <c r="E46" s="16"/>
      <c r="F46" s="15">
        <f t="shared" ref="F46:H46" si="13">AVERAGE(F44:F45)</f>
        <v>94.046301162579795</v>
      </c>
      <c r="G46" s="15">
        <f>AVERAGE(G44:G45)</f>
        <v>66.818034916635298</v>
      </c>
      <c r="H46" s="15">
        <f t="shared" si="13"/>
        <v>100</v>
      </c>
    </row>
    <row r="47" spans="1:8" x14ac:dyDescent="0.25">
      <c r="B47" s="14"/>
      <c r="C47" s="14"/>
      <c r="D47" s="16"/>
      <c r="E47" s="16"/>
      <c r="F47" s="14"/>
      <c r="G47" s="14"/>
      <c r="H47" s="14"/>
    </row>
    <row r="48" spans="1:8" x14ac:dyDescent="0.25">
      <c r="A48" s="1" t="s">
        <v>18</v>
      </c>
      <c r="D48" s="25"/>
      <c r="E48" s="25"/>
    </row>
    <row r="49" spans="1:8" x14ac:dyDescent="0.25">
      <c r="A49" s="1" t="s">
        <v>19</v>
      </c>
      <c r="B49" s="16">
        <f>B12/(B13)*100</f>
        <v>98.44023745131058</v>
      </c>
      <c r="C49" s="16">
        <f>C12/(C13)*100</f>
        <v>98.716429699842024</v>
      </c>
      <c r="D49" s="16"/>
      <c r="E49" s="16"/>
      <c r="F49" s="16">
        <f>F12/(F13)*100</f>
        <v>90.888053225339888</v>
      </c>
      <c r="G49" s="16"/>
      <c r="H49" s="16"/>
    </row>
    <row r="50" spans="1:8" x14ac:dyDescent="0.25">
      <c r="A50" s="1" t="s">
        <v>20</v>
      </c>
      <c r="B50" s="14">
        <f>B18/B19*100</f>
        <v>20.519369395734966</v>
      </c>
      <c r="C50" s="14">
        <f>C18/C19*100</f>
        <v>20.814437987185613</v>
      </c>
      <c r="D50" s="16"/>
      <c r="E50" s="16"/>
      <c r="F50" s="14">
        <f>F18/F19*100</f>
        <v>20.802229879825202</v>
      </c>
      <c r="G50" s="14">
        <f>G18/G19*100</f>
        <v>16.704508729158825</v>
      </c>
      <c r="H50" s="14">
        <f>H18/H19*100</f>
        <v>25</v>
      </c>
    </row>
    <row r="51" spans="1:8" x14ac:dyDescent="0.25">
      <c r="A51" s="1" t="s">
        <v>21</v>
      </c>
      <c r="B51" s="14">
        <f>(B49+B50)/2</f>
        <v>59.479803423522775</v>
      </c>
      <c r="C51" s="14">
        <f t="shared" ref="C51" si="14">(C49+C50)/2</f>
        <v>59.765433843513819</v>
      </c>
      <c r="D51" s="16"/>
      <c r="E51" s="16"/>
      <c r="F51" s="14">
        <f t="shared" ref="F51" si="15">(F49+F50)/2</f>
        <v>55.845141552582547</v>
      </c>
      <c r="G51" s="16">
        <f>AVERAGE(G49:G50)</f>
        <v>16.704508729158825</v>
      </c>
      <c r="H51" s="16">
        <f t="shared" ref="H51" si="16">AVERAGE(H49:H50)</f>
        <v>25</v>
      </c>
    </row>
    <row r="52" spans="1:8" x14ac:dyDescent="0.25">
      <c r="D52" s="25"/>
      <c r="E52" s="25"/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95.576828607631256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3.5013108902250067</v>
      </c>
      <c r="C57" s="14">
        <f>((C12/C10)-1)*100</f>
        <v>3.2824565481263557</v>
      </c>
      <c r="D57" s="14">
        <f t="shared" ref="D57:F57" si="17">((D12/D10)-1)*100</f>
        <v>3.5059473127435181</v>
      </c>
      <c r="E57" s="14">
        <f t="shared" si="17"/>
        <v>2.7219072765395591</v>
      </c>
      <c r="F57" s="14">
        <f t="shared" si="17"/>
        <v>10.452308413405209</v>
      </c>
      <c r="G57" s="14"/>
      <c r="H57" s="14"/>
    </row>
    <row r="58" spans="1:8" x14ac:dyDescent="0.25">
      <c r="A58" s="1" t="s">
        <v>25</v>
      </c>
      <c r="B58" s="14">
        <f>((B33/B32)-1)*100</f>
        <v>18.498970288616334</v>
      </c>
      <c r="C58" s="14">
        <f>((C33/C32)-1)*100</f>
        <v>23.687312108319713</v>
      </c>
      <c r="D58" s="14">
        <f t="shared" ref="D58" si="18">((D33/D32)-1)*100</f>
        <v>23.96609630188631</v>
      </c>
      <c r="E58" s="14">
        <f t="shared" ref="E58:G58" si="19">((E33/E32)-1)*100</f>
        <v>22.988062006654619</v>
      </c>
      <c r="F58" s="14">
        <f t="shared" si="19"/>
        <v>10.961697077795263</v>
      </c>
      <c r="G58" s="14">
        <f t="shared" si="19"/>
        <v>-6.6416903379325039</v>
      </c>
      <c r="H58" s="14">
        <f>((H33/H32)-1)*100</f>
        <v>11.970736830165563</v>
      </c>
    </row>
    <row r="59" spans="1:8" x14ac:dyDescent="0.25">
      <c r="A59" s="12" t="s">
        <v>26</v>
      </c>
      <c r="B59" s="15">
        <f>((B35/B34)-1)*100</f>
        <v>14.490308643818084</v>
      </c>
      <c r="C59" s="15">
        <f>((C35/C34)-1)*100</f>
        <v>19.756361575971383</v>
      </c>
      <c r="D59" s="15">
        <f t="shared" ref="D59:F59" si="20">((D35/D34)-1)*100</f>
        <v>19.767124035223226</v>
      </c>
      <c r="E59" s="15">
        <f t="shared" si="20"/>
        <v>19.729145678298355</v>
      </c>
      <c r="F59" s="15">
        <f t="shared" si="20"/>
        <v>0.46118426287977687</v>
      </c>
      <c r="G59" s="15"/>
      <c r="H59" s="15"/>
    </row>
    <row r="60" spans="1:8" x14ac:dyDescent="0.25"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5">
        <f>B17/(B11*3)</f>
        <v>89383.432253455336</v>
      </c>
      <c r="C62" s="5">
        <f>C17/(C11*3)</f>
        <v>70125.051141113901</v>
      </c>
      <c r="D62" s="22"/>
      <c r="E62" s="22"/>
      <c r="F62" s="5">
        <f t="shared" ref="F62" si="21">F17/(F11*3)</f>
        <v>222089.67094144548</v>
      </c>
      <c r="G62" s="5"/>
      <c r="H62" s="5"/>
    </row>
    <row r="63" spans="1:8" x14ac:dyDescent="0.25">
      <c r="A63" s="1" t="s">
        <v>35</v>
      </c>
      <c r="B63" s="5">
        <f>B18/(B12*3)</f>
        <v>79886.987480734009</v>
      </c>
      <c r="C63" s="5">
        <f>C18/(C12*3)</f>
        <v>64098.416646364982</v>
      </c>
      <c r="D63" s="5">
        <f t="shared" ref="D63:F63" si="22">D18/(D12*3)</f>
        <v>64104.605482976447</v>
      </c>
      <c r="E63" s="5">
        <f t="shared" si="22"/>
        <v>64082.775612424426</v>
      </c>
      <c r="F63" s="5">
        <f t="shared" si="22"/>
        <v>223697.37933906217</v>
      </c>
      <c r="G63" s="5"/>
      <c r="H63" s="5"/>
    </row>
    <row r="64" spans="1:8" x14ac:dyDescent="0.25">
      <c r="A64" s="12" t="s">
        <v>28</v>
      </c>
      <c r="B64" s="15">
        <f>(B62/B63)*B46</f>
        <v>105.29813785466304</v>
      </c>
      <c r="C64" s="15">
        <f>(C62/C63)*C46</f>
        <v>104.27606908369592</v>
      </c>
      <c r="D64" s="15"/>
      <c r="E64" s="15"/>
      <c r="F64" s="15">
        <f t="shared" ref="F64" si="23">(F62/F63)*F46</f>
        <v>93.37039235850439</v>
      </c>
      <c r="G64" s="15"/>
      <c r="H64" s="15"/>
    </row>
    <row r="65" spans="1:8" x14ac:dyDescent="0.25">
      <c r="A65" s="16" t="s">
        <v>36</v>
      </c>
      <c r="B65" s="5">
        <f>B17/B11</f>
        <v>268150.29676036601</v>
      </c>
      <c r="C65" s="5">
        <f>C17/C11</f>
        <v>210375.15342334169</v>
      </c>
      <c r="D65" s="5"/>
      <c r="E65" s="5"/>
      <c r="F65" s="5">
        <f t="shared" ref="F65" si="24">F17/F11</f>
        <v>666269.01282433642</v>
      </c>
      <c r="G65" s="16"/>
      <c r="H65" s="16"/>
    </row>
    <row r="66" spans="1:8" x14ac:dyDescent="0.25">
      <c r="A66" s="16" t="s">
        <v>37</v>
      </c>
      <c r="B66" s="5">
        <f>B18/B12</f>
        <v>239660.962442202</v>
      </c>
      <c r="C66" s="5">
        <f>C18/C12</f>
        <v>192295.24993909494</v>
      </c>
      <c r="D66" s="22">
        <f>D18/D12</f>
        <v>192313.81644892934</v>
      </c>
      <c r="E66" s="5">
        <f t="shared" ref="E66:F66" si="25">E18/E12</f>
        <v>192248.32683727329</v>
      </c>
      <c r="F66" s="5">
        <f t="shared" si="25"/>
        <v>671092.13801718655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112.02571701972643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79.295208368908561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127</v>
      </c>
    </row>
    <row r="75" spans="1:8" x14ac:dyDescent="0.25">
      <c r="A75" s="1" t="s">
        <v>90</v>
      </c>
      <c r="B75" s="20"/>
      <c r="C75" s="20"/>
      <c r="D75" s="20"/>
      <c r="E75" s="20"/>
      <c r="F75" s="20"/>
    </row>
    <row r="76" spans="1:8" x14ac:dyDescent="0.25">
      <c r="A76" s="1" t="s">
        <v>128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78</v>
      </c>
    </row>
    <row r="82" spans="1:1" x14ac:dyDescent="0.25">
      <c r="A82" s="34" t="s">
        <v>79</v>
      </c>
    </row>
    <row r="83" spans="1:1" x14ac:dyDescent="0.25">
      <c r="A83" s="34" t="s">
        <v>80</v>
      </c>
    </row>
    <row r="85" spans="1:1" x14ac:dyDescent="0.25">
      <c r="A85" s="1" t="s">
        <v>131</v>
      </c>
    </row>
    <row r="148" spans="2:5" x14ac:dyDescent="0.25">
      <c r="B148" s="26"/>
      <c r="C148" s="26"/>
      <c r="D148" s="26"/>
      <c r="E148" s="26"/>
    </row>
    <row r="149" spans="2:5" x14ac:dyDescent="0.25">
      <c r="B149" s="26"/>
      <c r="C149" s="26"/>
      <c r="D149" s="26"/>
      <c r="E149" s="26"/>
    </row>
  </sheetData>
  <mergeCells count="4">
    <mergeCell ref="A4:A5"/>
    <mergeCell ref="A2:H2"/>
    <mergeCell ref="G4:G5"/>
    <mergeCell ref="H4:H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N85"/>
  <sheetViews>
    <sheetView zoomScale="80" zoomScaleNormal="80" workbookViewId="0">
      <selection activeCell="E64" sqref="E64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9" width="11.42578125" style="1"/>
    <col min="10" max="12" width="13.5703125" style="1" bestFit="1" customWidth="1"/>
    <col min="13" max="14" width="11.5703125" style="1" bestFit="1" customWidth="1"/>
    <col min="15" max="16384" width="11.42578125" style="1"/>
  </cols>
  <sheetData>
    <row r="2" spans="1:8" ht="15.75" x14ac:dyDescent="0.25">
      <c r="A2" s="47" t="s">
        <v>91</v>
      </c>
      <c r="B2" s="47"/>
      <c r="C2" s="47"/>
      <c r="D2" s="47"/>
      <c r="E2" s="47"/>
      <c r="F2" s="47"/>
      <c r="G2" s="47"/>
      <c r="H2" s="47"/>
    </row>
    <row r="4" spans="1:8" x14ac:dyDescent="0.25">
      <c r="A4" s="45" t="s">
        <v>0</v>
      </c>
      <c r="B4" s="45" t="s">
        <v>38</v>
      </c>
      <c r="C4" s="36"/>
      <c r="D4" s="36"/>
      <c r="E4" s="37" t="s">
        <v>1</v>
      </c>
      <c r="F4" s="29"/>
      <c r="G4" s="45" t="s">
        <v>2</v>
      </c>
      <c r="H4" s="45" t="s">
        <v>3</v>
      </c>
    </row>
    <row r="5" spans="1:8" ht="15.75" thickBot="1" x14ac:dyDescent="0.3">
      <c r="A5" s="46"/>
      <c r="B5" s="46"/>
      <c r="C5" s="48" t="s">
        <v>39</v>
      </c>
      <c r="D5" s="48"/>
      <c r="E5" s="48"/>
      <c r="F5" s="35" t="s">
        <v>81</v>
      </c>
      <c r="G5" s="46"/>
      <c r="H5" s="46"/>
    </row>
    <row r="6" spans="1:8" ht="15.75" thickTop="1" x14ac:dyDescent="0.25">
      <c r="C6" s="38" t="s">
        <v>129</v>
      </c>
      <c r="D6" s="28" t="s">
        <v>75</v>
      </c>
      <c r="E6" s="28" t="s">
        <v>76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55</v>
      </c>
      <c r="B10" s="22">
        <f>+C10+F10</f>
        <v>93920.000000000015</v>
      </c>
      <c r="C10" s="22">
        <f>SUM(D10:E10)</f>
        <v>91023.333333333343</v>
      </c>
      <c r="D10" s="22">
        <v>65119.333333333336</v>
      </c>
      <c r="E10" s="5">
        <v>25904</v>
      </c>
      <c r="F10" s="5">
        <v>2896.6666666666665</v>
      </c>
      <c r="G10" s="5"/>
    </row>
    <row r="11" spans="1:8" x14ac:dyDescent="0.25">
      <c r="A11" s="4" t="s">
        <v>92</v>
      </c>
      <c r="B11" s="22">
        <f t="shared" ref="B11:B13" si="0">+C11+F11</f>
        <v>97672</v>
      </c>
      <c r="C11" s="22">
        <v>94250</v>
      </c>
      <c r="D11" s="22"/>
      <c r="E11" s="22"/>
      <c r="F11" s="22">
        <v>3422</v>
      </c>
      <c r="G11" s="5"/>
    </row>
    <row r="12" spans="1:8" x14ac:dyDescent="0.25">
      <c r="A12" s="4" t="s">
        <v>93</v>
      </c>
      <c r="B12" s="22">
        <f t="shared" si="0"/>
        <v>97053.333333333343</v>
      </c>
      <c r="C12" s="22">
        <f t="shared" ref="C12:C20" si="1">SUM(D12:E12)</f>
        <v>93879.666666666672</v>
      </c>
      <c r="D12" s="22">
        <v>67277</v>
      </c>
      <c r="E12" s="5">
        <v>26602.666666666668</v>
      </c>
      <c r="F12" s="5">
        <v>3173.6666666666665</v>
      </c>
      <c r="G12" s="5"/>
    </row>
    <row r="13" spans="1:8" x14ac:dyDescent="0.25">
      <c r="A13" s="4" t="s">
        <v>85</v>
      </c>
      <c r="B13" s="22">
        <f t="shared" si="0"/>
        <v>97985</v>
      </c>
      <c r="C13" s="22">
        <v>94528</v>
      </c>
      <c r="D13" s="22"/>
      <c r="E13" s="22"/>
      <c r="F13" s="22">
        <v>3457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55</v>
      </c>
      <c r="B16" s="5">
        <f>+C16+F16+G16+H16</f>
        <v>25554395483.720001</v>
      </c>
      <c r="C16" s="22">
        <f t="shared" si="1"/>
        <v>19984621782.650002</v>
      </c>
      <c r="D16" s="5">
        <v>14297420472.408455</v>
      </c>
      <c r="E16" s="22">
        <v>5687201310.2415447</v>
      </c>
      <c r="F16" s="22">
        <v>1835921951.55</v>
      </c>
      <c r="G16" s="22">
        <v>2875601749.5</v>
      </c>
      <c r="H16" s="24">
        <v>858250000.01999998</v>
      </c>
    </row>
    <row r="17" spans="1:8" x14ac:dyDescent="0.25">
      <c r="A17" s="4" t="s">
        <v>92</v>
      </c>
      <c r="B17" s="5">
        <f t="shared" ref="B17:B19" si="2">+C17+F17+G17+H17</f>
        <v>26186250000</v>
      </c>
      <c r="C17" s="22">
        <f>19827.9*1000000</f>
        <v>19827900000</v>
      </c>
      <c r="D17" s="5"/>
      <c r="E17" s="22"/>
      <c r="F17" s="22">
        <v>2280000000</v>
      </c>
      <c r="G17" s="22">
        <v>3055850000</v>
      </c>
      <c r="H17" s="22">
        <v>1022500000</v>
      </c>
    </row>
    <row r="18" spans="1:8" x14ac:dyDescent="0.25">
      <c r="A18" s="4" t="s">
        <v>93</v>
      </c>
      <c r="B18" s="5">
        <f t="shared" si="2"/>
        <v>26522421867.070004</v>
      </c>
      <c r="C18" s="22">
        <f t="shared" si="1"/>
        <v>20299645624.640003</v>
      </c>
      <c r="D18" s="5">
        <v>14545896040.53932</v>
      </c>
      <c r="E18" s="22">
        <v>5753749584.1006832</v>
      </c>
      <c r="F18" s="22">
        <v>2125828118.8499999</v>
      </c>
      <c r="G18" s="22">
        <v>3074448123.54</v>
      </c>
      <c r="H18" s="24">
        <v>1022500000.04</v>
      </c>
    </row>
    <row r="19" spans="1:8" x14ac:dyDescent="0.25">
      <c r="A19" s="4" t="s">
        <v>85</v>
      </c>
      <c r="B19" s="5">
        <f t="shared" si="2"/>
        <v>112658908378.0759</v>
      </c>
      <c r="C19" s="22">
        <v>86209232075.817673</v>
      </c>
      <c r="D19" s="22"/>
      <c r="E19" s="22"/>
      <c r="F19" s="22">
        <v>10136276302.258219</v>
      </c>
      <c r="G19" s="22">
        <v>12223400000</v>
      </c>
      <c r="H19" s="22">
        <v>4090000000</v>
      </c>
    </row>
    <row r="20" spans="1:8" x14ac:dyDescent="0.25">
      <c r="A20" s="4" t="s">
        <v>94</v>
      </c>
      <c r="B20" s="41">
        <f>C20+F20+G20</f>
        <v>25499921867.030003</v>
      </c>
      <c r="C20" s="22">
        <f t="shared" si="1"/>
        <v>20299645624.640003</v>
      </c>
      <c r="D20" s="5">
        <f>+D18</f>
        <v>14545896040.53932</v>
      </c>
      <c r="E20" s="5">
        <f t="shared" ref="E20:G20" si="3">+E18</f>
        <v>5753749584.1006832</v>
      </c>
      <c r="F20" s="5">
        <f t="shared" si="3"/>
        <v>2125828118.8499999</v>
      </c>
      <c r="G20" s="41">
        <f t="shared" si="3"/>
        <v>3074448123.54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92</v>
      </c>
      <c r="B23" s="8">
        <f>B17</f>
        <v>26186250000</v>
      </c>
      <c r="C23" s="8"/>
      <c r="D23" s="8"/>
      <c r="E23" s="8"/>
      <c r="F23" s="8"/>
      <c r="G23" s="8"/>
      <c r="H23" s="8"/>
    </row>
    <row r="24" spans="1:8" x14ac:dyDescent="0.25">
      <c r="A24" s="9" t="s">
        <v>93</v>
      </c>
      <c r="B24" s="8">
        <v>29860251476.329998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56</v>
      </c>
      <c r="B27" s="23">
        <v>1.53</v>
      </c>
      <c r="C27" s="23">
        <v>1.53</v>
      </c>
      <c r="D27" s="23">
        <v>1.53</v>
      </c>
      <c r="E27" s="23">
        <v>1.53</v>
      </c>
      <c r="F27" s="23">
        <v>1.53</v>
      </c>
      <c r="G27" s="23">
        <v>1.53</v>
      </c>
      <c r="H27" s="23">
        <v>1.53</v>
      </c>
    </row>
    <row r="28" spans="1:8" x14ac:dyDescent="0.25">
      <c r="A28" s="10" t="s">
        <v>95</v>
      </c>
      <c r="B28" s="23">
        <v>1.62</v>
      </c>
      <c r="C28" s="23">
        <v>1.62</v>
      </c>
      <c r="D28" s="23">
        <v>1.62</v>
      </c>
      <c r="E28" s="23">
        <v>1.62</v>
      </c>
      <c r="F28" s="23">
        <v>1.62</v>
      </c>
      <c r="G28" s="23">
        <v>1.62</v>
      </c>
      <c r="H28" s="23">
        <v>1.62</v>
      </c>
    </row>
    <row r="29" spans="1:8" x14ac:dyDescent="0.25">
      <c r="A29" s="4" t="s">
        <v>8</v>
      </c>
      <c r="B29" s="24">
        <f>+D29+F29</f>
        <v>89249</v>
      </c>
      <c r="C29" s="39"/>
      <c r="D29" s="24">
        <v>83010</v>
      </c>
      <c r="E29" s="24" t="s">
        <v>77</v>
      </c>
      <c r="F29" s="24">
        <v>6239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57</v>
      </c>
      <c r="B32" s="13">
        <f t="shared" ref="B32:H32" si="4">B16/B27</f>
        <v>16702219270.40523</v>
      </c>
      <c r="C32" s="13">
        <f t="shared" ref="C32" si="5">C16/C27</f>
        <v>13061844302.385622</v>
      </c>
      <c r="D32" s="13">
        <f t="shared" si="4"/>
        <v>9344719263.0120621</v>
      </c>
      <c r="E32" s="13">
        <f t="shared" si="4"/>
        <v>3717125039.3735585</v>
      </c>
      <c r="F32" s="13">
        <f t="shared" si="4"/>
        <v>1199948987.9411764</v>
      </c>
      <c r="G32" s="13">
        <f t="shared" si="4"/>
        <v>1879478267.6470587</v>
      </c>
      <c r="H32" s="13">
        <f t="shared" si="4"/>
        <v>560947712.43137252</v>
      </c>
    </row>
    <row r="33" spans="1:14" x14ac:dyDescent="0.25">
      <c r="A33" s="12" t="s">
        <v>96</v>
      </c>
      <c r="B33" s="13">
        <f>B18/B28</f>
        <v>16371865350.043211</v>
      </c>
      <c r="C33" s="13">
        <f>C18/C28</f>
        <v>12530645447.308643</v>
      </c>
      <c r="D33" s="13">
        <f t="shared" ref="D33" si="6">D18/D28</f>
        <v>8978948173.1724186</v>
      </c>
      <c r="E33" s="13">
        <f>E18/E28</f>
        <v>3551697274.1362238</v>
      </c>
      <c r="F33" s="13">
        <f>F18/F28</f>
        <v>1312239579.5370369</v>
      </c>
      <c r="G33" s="13">
        <f>G18/G28</f>
        <v>1897807483.6666665</v>
      </c>
      <c r="H33" s="13">
        <f>H18/H28</f>
        <v>631172839.53086412</v>
      </c>
    </row>
    <row r="34" spans="1:14" x14ac:dyDescent="0.25">
      <c r="A34" s="12" t="s">
        <v>58</v>
      </c>
      <c r="B34" s="13">
        <f>B32/B10</f>
        <v>177834.53226581376</v>
      </c>
      <c r="C34" s="13">
        <f>C32/C10</f>
        <v>143499.95571522636</v>
      </c>
      <c r="D34" s="13">
        <f>D32/D10</f>
        <v>143501.45778026077</v>
      </c>
      <c r="E34" s="13">
        <f>E32/E10</f>
        <v>143496.1797163974</v>
      </c>
      <c r="F34" s="13">
        <f>F32/F10</f>
        <v>414251.66442157992</v>
      </c>
      <c r="G34" s="13"/>
      <c r="H34" s="13"/>
    </row>
    <row r="35" spans="1:14" x14ac:dyDescent="0.25">
      <c r="A35" s="12" t="s">
        <v>97</v>
      </c>
      <c r="B35" s="13">
        <f>B33/B12</f>
        <v>168689.36684341816</v>
      </c>
      <c r="C35" s="13">
        <f>C33/C12</f>
        <v>133475.60651019897</v>
      </c>
      <c r="D35" s="13">
        <f>D33/D12</f>
        <v>133462.37455850319</v>
      </c>
      <c r="E35" s="13">
        <f>E33/E12</f>
        <v>133509.06954702124</v>
      </c>
      <c r="F35" s="13">
        <f>F33/F12</f>
        <v>413477.4433999696</v>
      </c>
      <c r="G35" s="13"/>
      <c r="H35" s="13"/>
    </row>
    <row r="37" spans="1:14" x14ac:dyDescent="0.25">
      <c r="A37" s="3" t="s">
        <v>10</v>
      </c>
    </row>
    <row r="39" spans="1:14" x14ac:dyDescent="0.25">
      <c r="A39" s="1" t="s">
        <v>11</v>
      </c>
    </row>
    <row r="40" spans="1:14" x14ac:dyDescent="0.25">
      <c r="A40" s="1" t="s">
        <v>12</v>
      </c>
      <c r="B40" s="14">
        <f>((D40*C17+F40*F17)/(C17+F17))</f>
        <v>107.48759834364648</v>
      </c>
      <c r="C40" s="14"/>
      <c r="D40" s="14">
        <f>(C11)/D29*100</f>
        <v>113.5405372846645</v>
      </c>
      <c r="E40" s="14"/>
      <c r="F40" s="14">
        <f>(F11)/F29*100</f>
        <v>54.848533418817112</v>
      </c>
      <c r="G40" s="14"/>
      <c r="J40" s="26"/>
      <c r="K40" s="26"/>
      <c r="L40" s="26"/>
      <c r="M40" s="26"/>
      <c r="N40" s="26"/>
    </row>
    <row r="41" spans="1:14" x14ac:dyDescent="0.25">
      <c r="A41" s="1" t="s">
        <v>13</v>
      </c>
      <c r="B41" s="14">
        <f>((D41*C18+F41*F18)/(C18+F18))</f>
        <v>78.18606789292663</v>
      </c>
      <c r="C41" s="40"/>
      <c r="D41" s="14">
        <f>(D12)/D29*100</f>
        <v>81.04686182387664</v>
      </c>
      <c r="E41" s="14"/>
      <c r="F41" s="14">
        <f t="shared" ref="F41" si="7">(F12)/F29*100</f>
        <v>50.868194689319864</v>
      </c>
      <c r="G41" s="14"/>
      <c r="J41" s="26"/>
      <c r="K41" s="26"/>
      <c r="L41" s="26"/>
      <c r="M41" s="26"/>
      <c r="N41" s="26"/>
    </row>
    <row r="42" spans="1:14" x14ac:dyDescent="0.25">
      <c r="J42" s="26"/>
      <c r="K42" s="26"/>
      <c r="L42" s="26"/>
      <c r="M42" s="26"/>
      <c r="N42" s="26"/>
    </row>
    <row r="43" spans="1:14" x14ac:dyDescent="0.25">
      <c r="A43" s="1" t="s">
        <v>14</v>
      </c>
      <c r="J43" s="26"/>
      <c r="K43" s="26"/>
      <c r="L43" s="26"/>
      <c r="M43" s="26"/>
      <c r="N43" s="26"/>
    </row>
    <row r="44" spans="1:14" x14ac:dyDescent="0.25">
      <c r="A44" s="1" t="s">
        <v>15</v>
      </c>
      <c r="B44" s="14">
        <f>B12/B11*100</f>
        <v>99.366587490102944</v>
      </c>
      <c r="C44" s="14">
        <f>C12/C11*100</f>
        <v>99.607073386383732</v>
      </c>
      <c r="D44" s="14"/>
      <c r="E44" s="14"/>
      <c r="F44" s="14">
        <f>F12/F11*100</f>
        <v>92.743035262029991</v>
      </c>
      <c r="G44" s="14"/>
      <c r="J44" s="26"/>
      <c r="K44" s="26"/>
      <c r="L44" s="26"/>
      <c r="M44" s="26"/>
      <c r="N44" s="26"/>
    </row>
    <row r="45" spans="1:14" x14ac:dyDescent="0.25">
      <c r="A45" s="1" t="s">
        <v>16</v>
      </c>
      <c r="B45" s="14">
        <f>B18/B17*100</f>
        <v>101.28377246482412</v>
      </c>
      <c r="C45" s="14">
        <f>C18/C17*100</f>
        <v>102.37920114908792</v>
      </c>
      <c r="D45" s="14"/>
      <c r="E45" s="14"/>
      <c r="F45" s="14">
        <f>F18/F17*100</f>
        <v>93.238075388157895</v>
      </c>
      <c r="G45" s="14">
        <f>G18/G17*100</f>
        <v>100.60860721370486</v>
      </c>
      <c r="H45" s="14">
        <f>H18/H17*100</f>
        <v>100.00000000391198</v>
      </c>
      <c r="J45" s="26"/>
      <c r="K45" s="26"/>
      <c r="L45" s="26"/>
      <c r="M45" s="26"/>
      <c r="N45" s="26"/>
    </row>
    <row r="46" spans="1:14" x14ac:dyDescent="0.25">
      <c r="A46" s="12" t="s">
        <v>17</v>
      </c>
      <c r="B46" s="15">
        <f>AVERAGE(B44:B45)</f>
        <v>100.32517997746353</v>
      </c>
      <c r="C46" s="15">
        <f>AVERAGE(C44:C45)</f>
        <v>100.99313726773582</v>
      </c>
      <c r="D46" s="15"/>
      <c r="E46" s="15"/>
      <c r="F46" s="15">
        <f t="shared" ref="F46:H46" si="8">AVERAGE(F44:F45)</f>
        <v>92.990555325093936</v>
      </c>
      <c r="G46" s="15">
        <f>AVERAGE(G44:G45)</f>
        <v>100.60860721370486</v>
      </c>
      <c r="H46" s="15">
        <f t="shared" si="8"/>
        <v>100.00000000391198</v>
      </c>
      <c r="J46" s="26"/>
      <c r="K46" s="26"/>
      <c r="L46" s="26"/>
      <c r="M46" s="26"/>
      <c r="N46" s="26"/>
    </row>
    <row r="47" spans="1:14" x14ac:dyDescent="0.25">
      <c r="B47" s="14"/>
      <c r="C47" s="14"/>
      <c r="D47" s="14"/>
      <c r="E47" s="14"/>
      <c r="F47" s="14"/>
      <c r="G47" s="14"/>
      <c r="H47" s="14"/>
      <c r="J47" s="26"/>
      <c r="K47" s="26"/>
      <c r="L47" s="26"/>
      <c r="M47" s="26"/>
      <c r="N47" s="26"/>
    </row>
    <row r="48" spans="1:14" x14ac:dyDescent="0.25">
      <c r="A48" s="1" t="s">
        <v>18</v>
      </c>
      <c r="J48" s="26"/>
      <c r="K48" s="26"/>
      <c r="L48" s="26"/>
      <c r="M48" s="26"/>
      <c r="N48" s="26"/>
    </row>
    <row r="49" spans="1:14" x14ac:dyDescent="0.25">
      <c r="A49" s="1" t="s">
        <v>19</v>
      </c>
      <c r="B49" s="16">
        <f>B12/(B13)*100</f>
        <v>99.049174193328923</v>
      </c>
      <c r="C49" s="16">
        <f>C12/(C13)*100</f>
        <v>99.314136199503494</v>
      </c>
      <c r="D49" s="16"/>
      <c r="E49" s="16"/>
      <c r="F49" s="16">
        <f>F12/(F13)*100</f>
        <v>91.804069038665503</v>
      </c>
      <c r="G49" s="16"/>
      <c r="H49" s="16"/>
      <c r="J49" s="26"/>
      <c r="K49" s="26"/>
      <c r="L49" s="26"/>
      <c r="M49" s="26"/>
      <c r="N49" s="26"/>
    </row>
    <row r="50" spans="1:14" x14ac:dyDescent="0.25">
      <c r="A50" s="1" t="s">
        <v>20</v>
      </c>
      <c r="B50" s="14">
        <f>B18/B19*100</f>
        <v>23.542232255670807</v>
      </c>
      <c r="C50" s="14">
        <f>C18/C19*100</f>
        <v>23.546950988714588</v>
      </c>
      <c r="D50" s="14"/>
      <c r="E50" s="14"/>
      <c r="F50" s="14">
        <f>F18/F19*100</f>
        <v>20.97247604010553</v>
      </c>
      <c r="G50" s="14">
        <f>G18/G19*100</f>
        <v>25.152151803426214</v>
      </c>
      <c r="H50" s="14">
        <f>H18/H19*100</f>
        <v>25.000000000977995</v>
      </c>
      <c r="J50" s="26"/>
      <c r="K50" s="26"/>
      <c r="L50" s="26"/>
      <c r="M50" s="26"/>
      <c r="N50" s="26"/>
    </row>
    <row r="51" spans="1:14" x14ac:dyDescent="0.25">
      <c r="A51" s="1" t="s">
        <v>21</v>
      </c>
      <c r="B51" s="14">
        <f>(B49+B50)/2</f>
        <v>61.295703224499867</v>
      </c>
      <c r="C51" s="14">
        <f t="shared" ref="C51" si="9">(C49+C50)/2</f>
        <v>61.430543594109039</v>
      </c>
      <c r="D51" s="14"/>
      <c r="E51" s="14"/>
      <c r="F51" s="14">
        <f t="shared" ref="F51" si="10">(F49+F50)/2</f>
        <v>56.388272539385518</v>
      </c>
      <c r="G51" s="16">
        <f>AVERAGE(G49:G50)</f>
        <v>25.152151803426214</v>
      </c>
      <c r="H51" s="16">
        <f t="shared" ref="H51" si="11">AVERAGE(H49:H50)</f>
        <v>25.000000000977995</v>
      </c>
      <c r="J51" s="26"/>
      <c r="K51" s="26"/>
      <c r="L51" s="26"/>
      <c r="M51" s="26"/>
      <c r="N51" s="26"/>
    </row>
    <row r="52" spans="1:14" x14ac:dyDescent="0.25">
      <c r="J52" s="26"/>
      <c r="K52" s="26"/>
      <c r="L52" s="26"/>
      <c r="M52" s="26"/>
      <c r="N52" s="26"/>
    </row>
    <row r="53" spans="1:14" x14ac:dyDescent="0.25">
      <c r="A53" s="1" t="s">
        <v>33</v>
      </c>
      <c r="J53" s="26"/>
      <c r="K53" s="26"/>
      <c r="L53" s="26"/>
      <c r="M53" s="26"/>
      <c r="N53" s="26"/>
    </row>
    <row r="54" spans="1:14" x14ac:dyDescent="0.25">
      <c r="A54" s="1" t="s">
        <v>22</v>
      </c>
      <c r="B54" s="14">
        <f>(B20/B18)*100</f>
        <v>96.144771374330901</v>
      </c>
      <c r="C54" s="14"/>
      <c r="D54" s="14"/>
      <c r="E54" s="14"/>
      <c r="F54" s="14"/>
      <c r="G54" s="14"/>
      <c r="H54" s="14"/>
      <c r="J54" s="26"/>
      <c r="K54" s="26"/>
      <c r="L54" s="26"/>
      <c r="M54" s="26"/>
      <c r="N54" s="26"/>
    </row>
    <row r="55" spans="1:14" x14ac:dyDescent="0.25">
      <c r="J55" s="26"/>
      <c r="K55" s="26"/>
      <c r="L55" s="26"/>
      <c r="M55" s="26"/>
      <c r="N55" s="26"/>
    </row>
    <row r="56" spans="1:14" x14ac:dyDescent="0.25">
      <c r="A56" s="1" t="s">
        <v>23</v>
      </c>
      <c r="J56" s="26"/>
      <c r="K56" s="26"/>
      <c r="L56" s="26"/>
      <c r="M56" s="26"/>
      <c r="N56" s="26"/>
    </row>
    <row r="57" spans="1:14" x14ac:dyDescent="0.25">
      <c r="A57" s="1" t="s">
        <v>24</v>
      </c>
      <c r="B57" s="14">
        <f>((B12/B10)-1)*100</f>
        <v>3.3361726291879501</v>
      </c>
      <c r="C57" s="14">
        <f>((C12/C10)-1)*100</f>
        <v>3.1380232174900158</v>
      </c>
      <c r="D57" s="14">
        <f t="shared" ref="D57:F57" si="12">((D12/D10)-1)*100</f>
        <v>3.3134041093786815</v>
      </c>
      <c r="E57" s="14">
        <f t="shared" si="12"/>
        <v>2.6971381511220915</v>
      </c>
      <c r="F57" s="14">
        <f t="shared" si="12"/>
        <v>9.5627157652474093</v>
      </c>
      <c r="G57" s="14"/>
      <c r="H57" s="14"/>
      <c r="J57" s="26"/>
      <c r="K57" s="26"/>
      <c r="L57" s="26"/>
      <c r="M57" s="26"/>
      <c r="N57" s="26"/>
    </row>
    <row r="58" spans="1:14" x14ac:dyDescent="0.25">
      <c r="A58" s="1" t="s">
        <v>25</v>
      </c>
      <c r="B58" s="16">
        <f>((B33/B32)-1)*100</f>
        <v>-1.9779043432112897</v>
      </c>
      <c r="C58" s="16">
        <f>((C33/C32)-1)*100</f>
        <v>-4.0667982467067043</v>
      </c>
      <c r="D58" s="16">
        <f t="shared" ref="D58:G58" si="13">((D33/D32)-1)*100</f>
        <v>-3.9142009464899097</v>
      </c>
      <c r="E58" s="16">
        <f t="shared" si="13"/>
        <v>-4.4504223959389355</v>
      </c>
      <c r="F58" s="16">
        <f t="shared" si="13"/>
        <v>9.3579471064452626</v>
      </c>
      <c r="G58" s="16">
        <f t="shared" si="13"/>
        <v>0.97522894172936692</v>
      </c>
      <c r="H58" s="16">
        <f>((H33/H32)-1)*100</f>
        <v>12.519014792859707</v>
      </c>
      <c r="J58" s="26"/>
      <c r="K58" s="26"/>
      <c r="L58" s="26"/>
      <c r="M58" s="26"/>
      <c r="N58" s="26"/>
    </row>
    <row r="59" spans="1:14" x14ac:dyDescent="0.25">
      <c r="A59" s="12" t="s">
        <v>26</v>
      </c>
      <c r="B59" s="15">
        <f>((B35/B34)-1)*100</f>
        <v>-5.1425138334359577</v>
      </c>
      <c r="C59" s="15">
        <f>((C35/C34)-1)*100</f>
        <v>-6.9856113579021439</v>
      </c>
      <c r="D59" s="15">
        <f t="shared" ref="D59:F59" si="14">((D35/D34)-1)*100</f>
        <v>-6.9958057409633456</v>
      </c>
      <c r="E59" s="15">
        <f t="shared" si="14"/>
        <v>-6.9598439408731672</v>
      </c>
      <c r="F59" s="15">
        <f t="shared" si="14"/>
        <v>-0.18689629713168898</v>
      </c>
      <c r="G59" s="15"/>
      <c r="H59" s="15"/>
      <c r="J59" s="26"/>
      <c r="K59" s="26"/>
      <c r="L59" s="26"/>
      <c r="M59" s="26"/>
      <c r="N59" s="26"/>
    </row>
    <row r="60" spans="1:14" x14ac:dyDescent="0.25">
      <c r="A60" s="25"/>
      <c r="B60" s="16"/>
      <c r="C60" s="16"/>
      <c r="D60" s="16"/>
      <c r="E60" s="16"/>
      <c r="F60" s="16"/>
      <c r="G60" s="16"/>
      <c r="H60" s="16"/>
      <c r="J60" s="26"/>
      <c r="K60" s="26"/>
      <c r="L60" s="26"/>
      <c r="M60" s="26"/>
      <c r="N60" s="26"/>
    </row>
    <row r="61" spans="1:14" x14ac:dyDescent="0.25">
      <c r="A61" s="1" t="s">
        <v>27</v>
      </c>
      <c r="J61" s="26"/>
      <c r="K61" s="26"/>
      <c r="L61" s="26"/>
      <c r="M61" s="26"/>
      <c r="N61" s="26"/>
    </row>
    <row r="62" spans="1:14" x14ac:dyDescent="0.25">
      <c r="A62" s="1" t="s">
        <v>34</v>
      </c>
      <c r="B62" s="5">
        <f>B17/(B11*3)</f>
        <v>89367.986731100013</v>
      </c>
      <c r="C62" s="5">
        <f>C17/(C11*3)</f>
        <v>70125.198938992049</v>
      </c>
      <c r="D62" s="5"/>
      <c r="E62" s="5"/>
      <c r="F62" s="5">
        <f t="shared" ref="F62" si="15">F17/(F11*3)</f>
        <v>222092.34365867914</v>
      </c>
      <c r="G62" s="5"/>
      <c r="H62" s="5"/>
      <c r="J62" s="26"/>
      <c r="K62" s="26"/>
      <c r="L62" s="26"/>
      <c r="M62" s="26"/>
      <c r="N62" s="26"/>
    </row>
    <row r="63" spans="1:14" x14ac:dyDescent="0.25">
      <c r="A63" s="1" t="s">
        <v>35</v>
      </c>
      <c r="B63" s="5">
        <f>B18/(B12*3)</f>
        <v>91092.25809544581</v>
      </c>
      <c r="C63" s="5">
        <f>C18/(C12*3)</f>
        <v>72076.827515507452</v>
      </c>
      <c r="D63" s="5">
        <f t="shared" ref="D63:F63" si="16">D18/(D12*3)</f>
        <v>72069.682261591734</v>
      </c>
      <c r="E63" s="5">
        <f t="shared" si="16"/>
        <v>72094.897555391479</v>
      </c>
      <c r="F63" s="5">
        <f t="shared" si="16"/>
        <v>223277.81943598361</v>
      </c>
      <c r="G63" s="5"/>
      <c r="H63" s="5"/>
      <c r="J63" s="26"/>
      <c r="K63" s="26"/>
      <c r="L63" s="26"/>
      <c r="M63" s="26"/>
      <c r="N63" s="26"/>
    </row>
    <row r="64" spans="1:14" x14ac:dyDescent="0.25">
      <c r="A64" s="12" t="s">
        <v>28</v>
      </c>
      <c r="B64" s="15">
        <f>(B62/B63)*B46</f>
        <v>98.426140052723468</v>
      </c>
      <c r="C64" s="15">
        <f>(C62/C63)*C46</f>
        <v>98.258540039781394</v>
      </c>
      <c r="D64" s="15"/>
      <c r="E64" s="15"/>
      <c r="F64" s="15">
        <f t="shared" ref="F64" si="17">(F62/F63)*F46</f>
        <v>92.49682938700272</v>
      </c>
      <c r="G64" s="15"/>
      <c r="H64" s="15"/>
      <c r="J64" s="26"/>
      <c r="K64" s="26"/>
      <c r="L64" s="26"/>
      <c r="M64" s="26"/>
      <c r="N64" s="26"/>
    </row>
    <row r="65" spans="1:14" x14ac:dyDescent="0.25">
      <c r="A65" s="16" t="s">
        <v>36</v>
      </c>
      <c r="B65" s="5">
        <f>B17/B11</f>
        <v>268103.96019330004</v>
      </c>
      <c r="C65" s="5">
        <f>C17/C11</f>
        <v>210375.59681697612</v>
      </c>
      <c r="D65" s="5"/>
      <c r="E65" s="5"/>
      <c r="F65" s="5">
        <f t="shared" ref="F65" si="18">F17/F11</f>
        <v>666277.03097603738</v>
      </c>
      <c r="G65" s="16"/>
      <c r="H65" s="16"/>
      <c r="J65" s="26"/>
      <c r="K65" s="26"/>
      <c r="L65" s="26"/>
      <c r="M65" s="26"/>
      <c r="N65" s="26"/>
    </row>
    <row r="66" spans="1:14" x14ac:dyDescent="0.25">
      <c r="A66" s="16" t="s">
        <v>37</v>
      </c>
      <c r="B66" s="5">
        <f>B18/B12</f>
        <v>273276.77428633743</v>
      </c>
      <c r="C66" s="5">
        <f>C18/C12</f>
        <v>216230.48254652234</v>
      </c>
      <c r="D66" s="22">
        <f>D18/D12</f>
        <v>216209.04678477519</v>
      </c>
      <c r="E66" s="5">
        <f t="shared" ref="E66:F66" si="19">E18/E12</f>
        <v>216284.69266617444</v>
      </c>
      <c r="F66" s="5">
        <f t="shared" si="19"/>
        <v>669833.45830795087</v>
      </c>
      <c r="G66" s="16"/>
      <c r="H66" s="16"/>
      <c r="J66" s="26"/>
      <c r="K66" s="26"/>
      <c r="L66" s="26"/>
      <c r="M66" s="26"/>
      <c r="N66" s="26"/>
    </row>
    <row r="67" spans="1:14" x14ac:dyDescent="0.25">
      <c r="B67" s="14"/>
      <c r="C67" s="14"/>
      <c r="D67" s="14"/>
      <c r="E67" s="14"/>
      <c r="F67" s="14"/>
      <c r="G67" s="14"/>
      <c r="H67" s="14"/>
      <c r="J67" s="26"/>
      <c r="K67" s="26"/>
      <c r="L67" s="26"/>
      <c r="M67" s="26"/>
      <c r="N67" s="26"/>
    </row>
    <row r="68" spans="1:14" x14ac:dyDescent="0.25">
      <c r="A68" s="1" t="s">
        <v>29</v>
      </c>
      <c r="B68" s="14"/>
      <c r="C68" s="14"/>
      <c r="D68" s="14"/>
      <c r="E68" s="14"/>
      <c r="F68" s="14"/>
      <c r="G68" s="14"/>
      <c r="H68" s="14"/>
      <c r="J68" s="26"/>
      <c r="K68" s="26"/>
      <c r="L68" s="26"/>
      <c r="M68" s="26"/>
      <c r="N68" s="26"/>
    </row>
    <row r="69" spans="1:14" x14ac:dyDescent="0.25">
      <c r="A69" s="17" t="s">
        <v>30</v>
      </c>
      <c r="B69" s="18">
        <f>(B24/B23)*100</f>
        <v>114.03026961222014</v>
      </c>
      <c r="C69" s="18"/>
      <c r="D69" s="18"/>
      <c r="E69" s="18"/>
      <c r="F69" s="18"/>
      <c r="G69" s="18"/>
      <c r="H69" s="18"/>
      <c r="J69" s="26"/>
      <c r="K69" s="26"/>
      <c r="L69" s="26"/>
      <c r="M69" s="26"/>
      <c r="N69" s="26"/>
    </row>
    <row r="70" spans="1:14" x14ac:dyDescent="0.25">
      <c r="A70" s="17" t="s">
        <v>31</v>
      </c>
      <c r="B70" s="18">
        <f>(B18/B24)*100</f>
        <v>88.821830211624757</v>
      </c>
      <c r="C70" s="18"/>
      <c r="D70" s="18"/>
      <c r="E70" s="18"/>
      <c r="F70" s="18"/>
      <c r="G70" s="18"/>
      <c r="H70" s="18"/>
      <c r="J70" s="26"/>
      <c r="K70" s="26"/>
      <c r="L70" s="26"/>
      <c r="M70" s="26"/>
      <c r="N70" s="26"/>
    </row>
    <row r="71" spans="1:14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14" ht="15.75" thickTop="1" x14ac:dyDescent="0.25"/>
    <row r="73" spans="1:14" x14ac:dyDescent="0.25">
      <c r="A73" s="1" t="s">
        <v>32</v>
      </c>
    </row>
    <row r="74" spans="1:14" x14ac:dyDescent="0.25">
      <c r="A74" s="1" t="s">
        <v>127</v>
      </c>
    </row>
    <row r="75" spans="1:14" x14ac:dyDescent="0.25">
      <c r="A75" s="1" t="s">
        <v>90</v>
      </c>
      <c r="B75" s="20"/>
      <c r="C75" s="20"/>
      <c r="D75" s="20"/>
      <c r="E75" s="20"/>
      <c r="F75" s="20"/>
    </row>
    <row r="76" spans="1:14" x14ac:dyDescent="0.25">
      <c r="A76" s="1" t="s">
        <v>128</v>
      </c>
    </row>
    <row r="78" spans="1:14" x14ac:dyDescent="0.25">
      <c r="A78" s="1" t="s">
        <v>48</v>
      </c>
    </row>
    <row r="79" spans="1:14" x14ac:dyDescent="0.25">
      <c r="A79" s="1" t="s">
        <v>50</v>
      </c>
    </row>
    <row r="80" spans="1:14" x14ac:dyDescent="0.25">
      <c r="A80" s="1" t="s">
        <v>49</v>
      </c>
    </row>
    <row r="81" spans="1:1" x14ac:dyDescent="0.25">
      <c r="A81" s="33" t="s">
        <v>78</v>
      </c>
    </row>
    <row r="82" spans="1:1" x14ac:dyDescent="0.25">
      <c r="A82" s="34" t="s">
        <v>79</v>
      </c>
    </row>
    <row r="83" spans="1:1" x14ac:dyDescent="0.25">
      <c r="A83" s="34" t="s">
        <v>80</v>
      </c>
    </row>
    <row r="85" spans="1:1" x14ac:dyDescent="0.25">
      <c r="A85" s="1" t="s">
        <v>131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scale="37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5"/>
  <sheetViews>
    <sheetView topLeftCell="A67" zoomScale="70" zoomScaleNormal="70" workbookViewId="0">
      <selection activeCell="D71" sqref="D71"/>
    </sheetView>
  </sheetViews>
  <sheetFormatPr baseColWidth="10" defaultColWidth="11.42578125" defaultRowHeight="15" x14ac:dyDescent="0.25"/>
  <cols>
    <col min="1" max="1" width="55.140625" style="1" customWidth="1"/>
    <col min="2" max="2" width="17.140625" style="1" bestFit="1" customWidth="1"/>
    <col min="3" max="3" width="16.7109375" style="1" bestFit="1" customWidth="1"/>
    <col min="4" max="4" width="16.140625" style="1" customWidth="1"/>
    <col min="5" max="5" width="17" style="1" bestFit="1" customWidth="1"/>
    <col min="6" max="6" width="16.42578125" style="1" bestFit="1" customWidth="1"/>
    <col min="7" max="7" width="16.2851562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7" t="s">
        <v>98</v>
      </c>
      <c r="B2" s="47"/>
      <c r="C2" s="47"/>
      <c r="D2" s="47"/>
      <c r="E2" s="47"/>
      <c r="F2" s="47"/>
      <c r="G2" s="47"/>
      <c r="H2" s="47"/>
    </row>
    <row r="4" spans="1:8" x14ac:dyDescent="0.25">
      <c r="A4" s="45" t="s">
        <v>0</v>
      </c>
      <c r="B4" s="45" t="s">
        <v>38</v>
      </c>
      <c r="C4" s="36"/>
      <c r="D4" s="49" t="s">
        <v>1</v>
      </c>
      <c r="E4" s="49"/>
      <c r="F4" s="50"/>
      <c r="G4" s="45" t="s">
        <v>2</v>
      </c>
      <c r="H4" s="45" t="s">
        <v>3</v>
      </c>
    </row>
    <row r="5" spans="1:8" ht="15.75" thickBot="1" x14ac:dyDescent="0.3">
      <c r="A5" s="46"/>
      <c r="B5" s="46"/>
      <c r="C5" s="48" t="s">
        <v>39</v>
      </c>
      <c r="D5" s="48"/>
      <c r="E5" s="48"/>
      <c r="F5" s="35" t="s">
        <v>81</v>
      </c>
      <c r="G5" s="46"/>
      <c r="H5" s="46"/>
    </row>
    <row r="6" spans="1:8" ht="15.75" thickTop="1" x14ac:dyDescent="0.25">
      <c r="C6" s="38" t="s">
        <v>129</v>
      </c>
      <c r="D6" s="28" t="s">
        <v>75</v>
      </c>
      <c r="E6" s="28" t="s">
        <v>76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59</v>
      </c>
      <c r="B10" s="22">
        <f>+C10+F10</f>
        <v>94767.333333333328</v>
      </c>
      <c r="C10" s="22">
        <f>SUM(D10:E10)</f>
        <v>91789.333333333328</v>
      </c>
      <c r="D10" s="22">
        <v>65685.333333333328</v>
      </c>
      <c r="E10" s="5">
        <v>26104</v>
      </c>
      <c r="F10" s="5">
        <v>2978</v>
      </c>
      <c r="G10" s="5"/>
    </row>
    <row r="11" spans="1:8" x14ac:dyDescent="0.25">
      <c r="A11" s="4" t="s">
        <v>99</v>
      </c>
      <c r="B11" s="22">
        <f t="shared" ref="B11:B13" si="0">+C11+F11</f>
        <v>98296</v>
      </c>
      <c r="C11" s="22">
        <v>94805</v>
      </c>
      <c r="D11" s="22"/>
      <c r="E11" s="22"/>
      <c r="F11" s="22">
        <v>3491</v>
      </c>
      <c r="G11" s="5"/>
    </row>
    <row r="12" spans="1:8" x14ac:dyDescent="0.25">
      <c r="A12" s="4" t="s">
        <v>100</v>
      </c>
      <c r="B12" s="22">
        <f t="shared" si="0"/>
        <v>98156</v>
      </c>
      <c r="C12" s="22">
        <f t="shared" ref="C12:C20" si="1">SUM(D12:E12)</f>
        <v>94950</v>
      </c>
      <c r="D12" s="5">
        <v>68163.333333333328</v>
      </c>
      <c r="E12" s="5">
        <v>26786.666666666668</v>
      </c>
      <c r="F12" s="5">
        <v>3206</v>
      </c>
      <c r="G12" s="5"/>
    </row>
    <row r="13" spans="1:8" x14ac:dyDescent="0.25">
      <c r="A13" s="4" t="s">
        <v>85</v>
      </c>
      <c r="B13" s="22">
        <f t="shared" si="0"/>
        <v>97985</v>
      </c>
      <c r="C13" s="22">
        <v>94528</v>
      </c>
      <c r="D13" s="22"/>
      <c r="E13" s="22"/>
      <c r="F13" s="22">
        <v>3457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59</v>
      </c>
      <c r="B16" s="5">
        <f>+C16+F16+G16+H16</f>
        <v>24591561816.129997</v>
      </c>
      <c r="C16" s="22">
        <f t="shared" si="1"/>
        <v>18900414513.529999</v>
      </c>
      <c r="D16" s="5">
        <v>13526026363.402075</v>
      </c>
      <c r="E16" s="22">
        <v>5374388150.1279259</v>
      </c>
      <c r="F16" s="22">
        <v>1928106208.3499999</v>
      </c>
      <c r="G16" s="22">
        <v>2904791094.23</v>
      </c>
      <c r="H16" s="24">
        <v>858250000.01999998</v>
      </c>
    </row>
    <row r="17" spans="1:8" x14ac:dyDescent="0.25">
      <c r="A17" s="4" t="s">
        <v>99</v>
      </c>
      <c r="B17" s="5">
        <f t="shared" ref="B17:B19" si="2">+C17+F17+G17+H17</f>
        <v>26418650000</v>
      </c>
      <c r="C17" s="22">
        <v>19944600000</v>
      </c>
      <c r="D17" s="5"/>
      <c r="E17" s="22"/>
      <c r="F17" s="22">
        <v>2395700000</v>
      </c>
      <c r="G17" s="22">
        <v>3055850000</v>
      </c>
      <c r="H17" s="22">
        <v>1022500000</v>
      </c>
    </row>
    <row r="18" spans="1:8" x14ac:dyDescent="0.25">
      <c r="A18" s="4" t="s">
        <v>100</v>
      </c>
      <c r="B18" s="5">
        <f t="shared" si="2"/>
        <v>33075897184.230003</v>
      </c>
      <c r="C18" s="22">
        <f t="shared" si="1"/>
        <v>26796328920.360004</v>
      </c>
      <c r="D18" s="5">
        <v>19244370230.935547</v>
      </c>
      <c r="E18" s="22">
        <v>7551958689.4244566</v>
      </c>
      <c r="F18" s="22">
        <v>2072789067.0000002</v>
      </c>
      <c r="G18" s="22">
        <v>3184279196.8499999</v>
      </c>
      <c r="H18" s="24">
        <v>1022500000.02</v>
      </c>
    </row>
    <row r="19" spans="1:8" x14ac:dyDescent="0.25">
      <c r="A19" s="4" t="s">
        <v>85</v>
      </c>
      <c r="B19" s="5">
        <f t="shared" si="2"/>
        <v>112658908378.0759</v>
      </c>
      <c r="C19" s="22">
        <v>86209232075.817673</v>
      </c>
      <c r="D19" s="22"/>
      <c r="E19" s="22"/>
      <c r="F19" s="22">
        <v>10136276302.258219</v>
      </c>
      <c r="G19" s="22">
        <v>12223400000</v>
      </c>
      <c r="H19" s="22">
        <v>4090000000</v>
      </c>
    </row>
    <row r="20" spans="1:8" x14ac:dyDescent="0.25">
      <c r="A20" s="4" t="s">
        <v>101</v>
      </c>
      <c r="B20" s="41">
        <f>C20+F20+G20</f>
        <v>32053397184.210003</v>
      </c>
      <c r="C20" s="22">
        <f t="shared" si="1"/>
        <v>26796328920.360004</v>
      </c>
      <c r="D20" s="5">
        <f>+D18</f>
        <v>19244370230.935547</v>
      </c>
      <c r="E20" s="5">
        <f t="shared" ref="E20:G20" si="3">+E18</f>
        <v>7551958689.4244566</v>
      </c>
      <c r="F20" s="5">
        <f t="shared" si="3"/>
        <v>2072789067.0000002</v>
      </c>
      <c r="G20" s="41">
        <f t="shared" si="3"/>
        <v>3184279196.8499999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99</v>
      </c>
      <c r="B23" s="8">
        <f>B17</f>
        <v>26418650000</v>
      </c>
      <c r="C23" s="8"/>
      <c r="D23" s="8"/>
      <c r="E23" s="8"/>
      <c r="F23" s="8"/>
      <c r="G23" s="8"/>
      <c r="H23" s="8"/>
    </row>
    <row r="24" spans="1:8" x14ac:dyDescent="0.25">
      <c r="A24" s="9" t="s">
        <v>100</v>
      </c>
      <c r="B24" s="8">
        <v>38987183934.740005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60</v>
      </c>
      <c r="B27" s="23">
        <v>1.5396358920333333</v>
      </c>
      <c r="C27" s="23">
        <v>1.5396358920333333</v>
      </c>
      <c r="D27" s="23">
        <v>1.5396358920333333</v>
      </c>
      <c r="E27" s="23">
        <v>1.5396358920333333</v>
      </c>
      <c r="F27" s="23">
        <v>1.5396358920333333</v>
      </c>
      <c r="G27" s="23">
        <v>1.5396358920333333</v>
      </c>
      <c r="H27" s="23">
        <v>1.5396358920333333</v>
      </c>
    </row>
    <row r="28" spans="1:8" x14ac:dyDescent="0.25">
      <c r="A28" s="10" t="s">
        <v>102</v>
      </c>
      <c r="B28" s="23">
        <v>1.6242666666666665</v>
      </c>
      <c r="C28" s="23">
        <v>1.6242666666666665</v>
      </c>
      <c r="D28" s="23">
        <v>1.6242666666666665</v>
      </c>
      <c r="E28" s="23">
        <v>1.6242666666666665</v>
      </c>
      <c r="F28" s="23">
        <v>1.6242666666666665</v>
      </c>
      <c r="G28" s="23">
        <v>1.6242666666666665</v>
      </c>
      <c r="H28" s="23">
        <v>1.6242666666666665</v>
      </c>
    </row>
    <row r="29" spans="1:8" x14ac:dyDescent="0.25">
      <c r="A29" s="4" t="s">
        <v>8</v>
      </c>
      <c r="B29" s="24">
        <f>+D29+F29</f>
        <v>89249</v>
      </c>
      <c r="C29" s="39"/>
      <c r="D29" s="24">
        <v>83010</v>
      </c>
      <c r="E29" s="24" t="s">
        <v>77</v>
      </c>
      <c r="F29" s="24">
        <v>6239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61</v>
      </c>
      <c r="B32" s="13">
        <f t="shared" ref="B32:H32" si="4">B16/B27</f>
        <v>15972323029.994411</v>
      </c>
      <c r="C32" s="13">
        <f t="shared" ref="C32" si="5">C16/C27</f>
        <v>12275898874.096138</v>
      </c>
      <c r="D32" s="13">
        <f t="shared" si="4"/>
        <v>8785211122.5718517</v>
      </c>
      <c r="E32" s="13">
        <f t="shared" si="4"/>
        <v>3490687751.5242867</v>
      </c>
      <c r="F32" s="13">
        <f t="shared" si="4"/>
        <v>1252313107.4864914</v>
      </c>
      <c r="G32" s="13">
        <f t="shared" si="4"/>
        <v>1886674056.6782727</v>
      </c>
      <c r="H32" s="13">
        <f t="shared" si="4"/>
        <v>557436991.73350966</v>
      </c>
    </row>
    <row r="33" spans="1:8" x14ac:dyDescent="0.25">
      <c r="A33" s="12" t="s">
        <v>103</v>
      </c>
      <c r="B33" s="13">
        <f t="shared" ref="B33:H33" si="6">B18/B28</f>
        <v>20363587988.977592</v>
      </c>
      <c r="C33" s="13">
        <f t="shared" ref="C33" si="7">C18/C28</f>
        <v>16497493589.123301</v>
      </c>
      <c r="D33" s="13">
        <f t="shared" si="6"/>
        <v>11848036178.953917</v>
      </c>
      <c r="E33" s="13">
        <f t="shared" si="6"/>
        <v>4649457410.169383</v>
      </c>
      <c r="F33" s="13">
        <f t="shared" si="6"/>
        <v>1276138401.1246104</v>
      </c>
      <c r="G33" s="13">
        <f t="shared" si="6"/>
        <v>1960441140.7301757</v>
      </c>
      <c r="H33" s="13">
        <f t="shared" si="6"/>
        <v>629514857.99950755</v>
      </c>
    </row>
    <row r="34" spans="1:8" x14ac:dyDescent="0.25">
      <c r="A34" s="12" t="s">
        <v>62</v>
      </c>
      <c r="B34" s="13">
        <f>B32/B10</f>
        <v>168542.49737948814</v>
      </c>
      <c r="C34" s="13">
        <f>C32/C10</f>
        <v>133739.92846768114</v>
      </c>
      <c r="D34" s="13">
        <f>D32/D10</f>
        <v>133746.92152340227</v>
      </c>
      <c r="E34" s="13">
        <f>E32/E10</f>
        <v>133722.33188493285</v>
      </c>
      <c r="F34" s="13">
        <f>F32/F10</f>
        <v>420521.52702702867</v>
      </c>
      <c r="G34" s="13"/>
      <c r="H34" s="13"/>
    </row>
    <row r="35" spans="1:8" x14ac:dyDescent="0.25">
      <c r="A35" s="12" t="s">
        <v>104</v>
      </c>
      <c r="B35" s="13">
        <f>B33/B12</f>
        <v>207461.46938523973</v>
      </c>
      <c r="C35" s="13">
        <f>C33/C12</f>
        <v>173749.27424037177</v>
      </c>
      <c r="D35" s="13">
        <f>D33/D12</f>
        <v>173818.32136956209</v>
      </c>
      <c r="E35" s="13">
        <f>E33/E12</f>
        <v>173573.57180821488</v>
      </c>
      <c r="F35" s="13">
        <f>F33/F12</f>
        <v>398046.91239070817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107.9620949663735</v>
      </c>
      <c r="C40" s="14"/>
      <c r="D40" s="14">
        <f>(C11)/D29*100</f>
        <v>114.2091314299482</v>
      </c>
      <c r="E40" s="14"/>
      <c r="F40" s="14">
        <f>(F11)/F29*100</f>
        <v>55.954479884596886</v>
      </c>
      <c r="G40" s="14"/>
    </row>
    <row r="41" spans="1:8" x14ac:dyDescent="0.25">
      <c r="A41" s="1" t="s">
        <v>13</v>
      </c>
      <c r="B41" s="14">
        <f>((D41*C18+F41*F18)/(C18+F18))</f>
        <v>79.908336933308135</v>
      </c>
      <c r="C41" s="40"/>
      <c r="D41" s="14">
        <f>(D12)/D29*100</f>
        <v>82.114604666104483</v>
      </c>
      <c r="E41" s="14"/>
      <c r="F41" s="14">
        <f t="shared" ref="F41" si="8">(F12)/F29*100</f>
        <v>51.386440134636956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99.857573044681374</v>
      </c>
      <c r="C44" s="14">
        <f>C12/C11*100</f>
        <v>100.15294551975107</v>
      </c>
      <c r="D44" s="14"/>
      <c r="E44" s="14"/>
      <c r="F44" s="14">
        <f>F12/F11*100</f>
        <v>91.836150100257811</v>
      </c>
      <c r="G44" s="14"/>
    </row>
    <row r="45" spans="1:8" x14ac:dyDescent="0.25">
      <c r="A45" s="1" t="s">
        <v>16</v>
      </c>
      <c r="B45" s="14">
        <f>B18/B17*100</f>
        <v>125.19904379758241</v>
      </c>
      <c r="C45" s="14">
        <f>C18/C17*100</f>
        <v>134.35380464065463</v>
      </c>
      <c r="D45" s="14"/>
      <c r="E45" s="14"/>
      <c r="F45" s="14">
        <f>F18/F17*100</f>
        <v>86.521228325750315</v>
      </c>
      <c r="G45" s="14">
        <f>G18/G17*100</f>
        <v>104.20273236088158</v>
      </c>
      <c r="H45" s="14">
        <f>H18/H17*100</f>
        <v>100.000000001956</v>
      </c>
    </row>
    <row r="46" spans="1:8" x14ac:dyDescent="0.25">
      <c r="A46" s="12" t="s">
        <v>17</v>
      </c>
      <c r="B46" s="15">
        <f>AVERAGE(B44:B45)</f>
        <v>112.5283084211319</v>
      </c>
      <c r="C46" s="15">
        <f>AVERAGE(C44:C45)</f>
        <v>117.25337508020286</v>
      </c>
      <c r="D46" s="15"/>
      <c r="E46" s="15"/>
      <c r="F46" s="15">
        <f t="shared" ref="F46:H46" si="9">AVERAGE(F44:F45)</f>
        <v>89.178689213004063</v>
      </c>
      <c r="G46" s="15">
        <f>AVERAGE(G44:G45)</f>
        <v>104.20273236088158</v>
      </c>
      <c r="H46" s="15">
        <f t="shared" si="9"/>
        <v>100.000000001956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B12/(B13)*100</f>
        <v>100.17451650762872</v>
      </c>
      <c r="C49" s="16">
        <f>C12/(C13)*100</f>
        <v>100.44642857142858</v>
      </c>
      <c r="D49" s="16"/>
      <c r="E49" s="16"/>
      <c r="F49" s="16">
        <f>F12/(F13)*100</f>
        <v>92.739369395429563</v>
      </c>
      <c r="G49" s="16"/>
      <c r="H49" s="16"/>
    </row>
    <row r="50" spans="1:8" x14ac:dyDescent="0.25">
      <c r="A50" s="1" t="s">
        <v>20</v>
      </c>
      <c r="B50" s="14">
        <f>B18/B19*100</f>
        <v>29.359326892489907</v>
      </c>
      <c r="C50" s="14">
        <f>C18/C19*100</f>
        <v>31.082899447235157</v>
      </c>
      <c r="D50" s="14"/>
      <c r="E50" s="14"/>
      <c r="F50" s="14">
        <f>F18/F19*100</f>
        <v>20.449216311696357</v>
      </c>
      <c r="G50" s="14">
        <f>G18/G19*100</f>
        <v>26.050683090220396</v>
      </c>
      <c r="H50" s="14">
        <f>H18/H19*100</f>
        <v>25.000000000488999</v>
      </c>
    </row>
    <row r="51" spans="1:8" x14ac:dyDescent="0.25">
      <c r="A51" s="1" t="s">
        <v>21</v>
      </c>
      <c r="B51" s="14">
        <f>(B49+B50)/2</f>
        <v>64.766921700059314</v>
      </c>
      <c r="C51" s="14">
        <f t="shared" ref="C51" si="10">(C49+C50)/2</f>
        <v>65.764664009331867</v>
      </c>
      <c r="D51" s="14"/>
      <c r="E51" s="14"/>
      <c r="F51" s="14">
        <f t="shared" ref="F51" si="11">(F49+F50)/2</f>
        <v>56.594292853562962</v>
      </c>
      <c r="G51" s="14">
        <f>AVERAGE(G49:G50)</f>
        <v>26.050683090220396</v>
      </c>
      <c r="H51" s="14">
        <f t="shared" ref="H51" si="12">AVERAGE(H49:H50)</f>
        <v>25.000000000488999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96.90862505006362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3.5757750561023149</v>
      </c>
      <c r="C57" s="14">
        <f>((C12/C10)-1)*100</f>
        <v>3.4433921152784652</v>
      </c>
      <c r="D57" s="14">
        <f t="shared" ref="D57:F57" si="13">((D12/D10)-1)*100</f>
        <v>3.7725316661253672</v>
      </c>
      <c r="E57" s="14">
        <f t="shared" si="13"/>
        <v>2.6151803044233368</v>
      </c>
      <c r="F57" s="14">
        <f t="shared" si="13"/>
        <v>7.6561450638012118</v>
      </c>
      <c r="G57" s="14"/>
      <c r="H57" s="14"/>
    </row>
    <row r="58" spans="1:8" x14ac:dyDescent="0.25">
      <c r="A58" s="1" t="s">
        <v>25</v>
      </c>
      <c r="B58" s="14">
        <f>((B33/B32)-1)*100</f>
        <v>27.492963614227108</v>
      </c>
      <c r="C58" s="14">
        <f>((C33/C32)-1)*100</f>
        <v>34.389292045532535</v>
      </c>
      <c r="D58" s="14">
        <f t="shared" ref="D58:G58" si="14">((D33/D32)-1)*100</f>
        <v>34.863420055014331</v>
      </c>
      <c r="E58" s="14">
        <f t="shared" si="14"/>
        <v>33.196027291157563</v>
      </c>
      <c r="F58" s="14">
        <f t="shared" si="14"/>
        <v>1.9025029360220103</v>
      </c>
      <c r="G58" s="14">
        <f t="shared" si="14"/>
        <v>3.909900800871724</v>
      </c>
      <c r="H58" s="14">
        <f>((H33/H32)-1)*100</f>
        <v>12.930226614823525</v>
      </c>
    </row>
    <row r="59" spans="1:8" x14ac:dyDescent="0.25">
      <c r="A59" s="12" t="s">
        <v>26</v>
      </c>
      <c r="B59" s="15">
        <f>((B35/B34)-1)*100</f>
        <v>23.091488859407438</v>
      </c>
      <c r="C59" s="15">
        <f>((C35/C34)-1)*100</f>
        <v>29.915782243265564</v>
      </c>
      <c r="D59" s="15">
        <f t="shared" ref="D59:F59" si="15">((D35/D34)-1)*100</f>
        <v>29.960614711530663</v>
      </c>
      <c r="E59" s="15">
        <f t="shared" si="15"/>
        <v>29.801484435355018</v>
      </c>
      <c r="F59" s="15">
        <f t="shared" si="15"/>
        <v>-5.344462338280243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5">
        <f>B17/(B11*3)</f>
        <v>89588.759122107382</v>
      </c>
      <c r="C62" s="5">
        <f>C17/(C11*3)</f>
        <v>70124.993407520698</v>
      </c>
      <c r="D62" s="5"/>
      <c r="E62" s="5"/>
      <c r="F62" s="5">
        <f t="shared" ref="F62" si="16">F17/(F11*3)</f>
        <v>228750.1193545307</v>
      </c>
      <c r="G62" s="5"/>
      <c r="H62" s="5"/>
    </row>
    <row r="63" spans="1:8" x14ac:dyDescent="0.25">
      <c r="A63" s="1" t="s">
        <v>35</v>
      </c>
      <c r="B63" s="5">
        <f>B18/(B12*3)</f>
        <v>112324.24978004402</v>
      </c>
      <c r="C63" s="5">
        <f>C18/(C12*3)</f>
        <v>94071.718168720399</v>
      </c>
      <c r="D63" s="5">
        <f t="shared" ref="D63:F63" si="17">D18/(D12*3)</f>
        <v>94109.101818844676</v>
      </c>
      <c r="E63" s="5">
        <f t="shared" si="17"/>
        <v>93976.588967452175</v>
      </c>
      <c r="F63" s="5">
        <f t="shared" si="17"/>
        <v>215511.44385527138</v>
      </c>
      <c r="G63" s="5"/>
      <c r="H63" s="5"/>
    </row>
    <row r="64" spans="1:8" x14ac:dyDescent="0.25">
      <c r="A64" s="12" t="s">
        <v>28</v>
      </c>
      <c r="B64" s="15">
        <f>(B62/B63)*B46</f>
        <v>89.751514363998652</v>
      </c>
      <c r="C64" s="15">
        <f>(C62/C63)*C46</f>
        <v>87.405570075393683</v>
      </c>
      <c r="D64" s="15"/>
      <c r="E64" s="15"/>
      <c r="F64" s="15">
        <f t="shared" ref="F64" si="18">(F62/F63)*F46</f>
        <v>94.656856436147464</v>
      </c>
      <c r="G64" s="15"/>
      <c r="H64" s="15"/>
    </row>
    <row r="65" spans="1:8" x14ac:dyDescent="0.25">
      <c r="A65" s="16" t="s">
        <v>36</v>
      </c>
      <c r="B65" s="5">
        <f>B17/B11</f>
        <v>268766.27736632212</v>
      </c>
      <c r="C65" s="5">
        <f>C17/C11</f>
        <v>210374.9802225621</v>
      </c>
      <c r="D65" s="5"/>
      <c r="E65" s="5"/>
      <c r="F65" s="5">
        <f t="shared" ref="F65" si="19">F17/F11</f>
        <v>686250.35806359211</v>
      </c>
      <c r="G65" s="16"/>
      <c r="H65" s="16"/>
    </row>
    <row r="66" spans="1:8" x14ac:dyDescent="0.25">
      <c r="A66" s="16" t="s">
        <v>37</v>
      </c>
      <c r="B66" s="5">
        <f>B18/B12</f>
        <v>336972.74934013205</v>
      </c>
      <c r="C66" s="5">
        <f>C18/C12</f>
        <v>282215.15450616117</v>
      </c>
      <c r="D66" s="22">
        <f>D18/D12</f>
        <v>282327.30545653403</v>
      </c>
      <c r="E66" s="5">
        <f t="shared" ref="E66:F66" si="20">E18/E12</f>
        <v>281929.76690235652</v>
      </c>
      <c r="F66" s="5">
        <f t="shared" si="20"/>
        <v>646534.33156581421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147.57447460313077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84.837871951960409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127</v>
      </c>
    </row>
    <row r="75" spans="1:8" x14ac:dyDescent="0.25">
      <c r="A75" s="1" t="s">
        <v>90</v>
      </c>
      <c r="B75" s="20"/>
      <c r="C75" s="20"/>
      <c r="D75" s="20"/>
      <c r="E75" s="20"/>
      <c r="F75" s="20"/>
    </row>
    <row r="76" spans="1:8" x14ac:dyDescent="0.25">
      <c r="A76" s="1" t="s">
        <v>128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78</v>
      </c>
    </row>
    <row r="82" spans="1:1" x14ac:dyDescent="0.25">
      <c r="A82" s="34" t="s">
        <v>79</v>
      </c>
    </row>
    <row r="83" spans="1:1" x14ac:dyDescent="0.25">
      <c r="A83" s="34" t="s">
        <v>80</v>
      </c>
    </row>
    <row r="85" spans="1:1" x14ac:dyDescent="0.25">
      <c r="A85" s="1" t="s">
        <v>131</v>
      </c>
    </row>
  </sheetData>
  <mergeCells count="7">
    <mergeCell ref="A2:H2"/>
    <mergeCell ref="A4:A5"/>
    <mergeCell ref="B4:B5"/>
    <mergeCell ref="G4:G5"/>
    <mergeCell ref="H4:H5"/>
    <mergeCell ref="D4:F4"/>
    <mergeCell ref="C5:E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7"/>
  <sheetViews>
    <sheetView zoomScale="80" zoomScaleNormal="80" workbookViewId="0">
      <selection activeCell="C63" sqref="C63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7" t="s">
        <v>105</v>
      </c>
      <c r="B2" s="47"/>
      <c r="C2" s="47"/>
      <c r="D2" s="47"/>
      <c r="E2" s="47"/>
      <c r="F2" s="47"/>
      <c r="G2" s="47"/>
      <c r="H2" s="47"/>
    </row>
    <row r="4" spans="1:8" x14ac:dyDescent="0.25">
      <c r="A4" s="45" t="s">
        <v>0</v>
      </c>
      <c r="B4" s="45" t="s">
        <v>38</v>
      </c>
      <c r="C4" s="36"/>
      <c r="D4" s="49" t="s">
        <v>1</v>
      </c>
      <c r="E4" s="49"/>
      <c r="F4" s="50"/>
      <c r="G4" s="45" t="s">
        <v>2</v>
      </c>
      <c r="H4" s="45" t="s">
        <v>3</v>
      </c>
    </row>
    <row r="5" spans="1:8" ht="15.75" thickBot="1" x14ac:dyDescent="0.3">
      <c r="A5" s="46"/>
      <c r="B5" s="46"/>
      <c r="C5" s="48" t="s">
        <v>39</v>
      </c>
      <c r="D5" s="48"/>
      <c r="E5" s="48"/>
      <c r="F5" s="35" t="s">
        <v>81</v>
      </c>
      <c r="G5" s="46"/>
      <c r="H5" s="46"/>
    </row>
    <row r="6" spans="1:8" ht="15.75" thickTop="1" x14ac:dyDescent="0.25">
      <c r="C6" s="38" t="s">
        <v>129</v>
      </c>
      <c r="D6" s="28" t="s">
        <v>75</v>
      </c>
      <c r="E6" s="28" t="s">
        <v>76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63</v>
      </c>
      <c r="B10" s="22">
        <f>+C10+F10</f>
        <v>95888</v>
      </c>
      <c r="C10" s="22">
        <f>SUM(D10:E10)</f>
        <v>92794.666666666672</v>
      </c>
      <c r="D10" s="22">
        <v>67104.666666666672</v>
      </c>
      <c r="E10" s="5">
        <v>25690</v>
      </c>
      <c r="F10" s="5">
        <v>3093.3333333333335</v>
      </c>
      <c r="G10" s="5"/>
    </row>
    <row r="11" spans="1:8" x14ac:dyDescent="0.25">
      <c r="A11" s="4" t="s">
        <v>106</v>
      </c>
      <c r="B11" s="22">
        <f t="shared" ref="B11:B13" si="0">+C11+F11</f>
        <v>98920</v>
      </c>
      <c r="C11" s="22">
        <v>95360</v>
      </c>
      <c r="D11" s="22"/>
      <c r="E11" s="22"/>
      <c r="F11" s="22">
        <v>3560</v>
      </c>
      <c r="G11" s="5"/>
    </row>
    <row r="12" spans="1:8" x14ac:dyDescent="0.25">
      <c r="A12" s="4" t="s">
        <v>107</v>
      </c>
      <c r="B12" s="22">
        <f t="shared" si="0"/>
        <v>99687.333333333343</v>
      </c>
      <c r="C12" s="22">
        <f t="shared" ref="C12:C18" si="1">SUM(D12:E12)</f>
        <v>96426.333333333343</v>
      </c>
      <c r="D12" s="22">
        <v>69439.666666666672</v>
      </c>
      <c r="E12" s="5">
        <v>26986.666666666668</v>
      </c>
      <c r="F12" s="5">
        <v>3261</v>
      </c>
      <c r="G12" s="5"/>
    </row>
    <row r="13" spans="1:8" x14ac:dyDescent="0.25">
      <c r="A13" s="4" t="s">
        <v>85</v>
      </c>
      <c r="B13" s="22">
        <f t="shared" si="0"/>
        <v>97985</v>
      </c>
      <c r="C13" s="22">
        <v>94528</v>
      </c>
      <c r="D13" s="22"/>
      <c r="E13" s="22"/>
      <c r="F13" s="22">
        <v>3457</v>
      </c>
      <c r="G13" s="5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63</v>
      </c>
      <c r="B16" s="5">
        <f>+C16+F16+G16+H16</f>
        <v>36398580360.509995</v>
      </c>
      <c r="C16" s="22">
        <f t="shared" si="1"/>
        <v>25992530030.243889</v>
      </c>
      <c r="D16" s="5">
        <v>18788301828.65078</v>
      </c>
      <c r="E16" s="22">
        <v>7204228201.5931101</v>
      </c>
      <c r="F16" s="22">
        <v>2630810342.9161124</v>
      </c>
      <c r="G16" s="22">
        <v>6916989987.4300003</v>
      </c>
      <c r="H16" s="24">
        <v>858249999.92000008</v>
      </c>
    </row>
    <row r="17" spans="1:8" x14ac:dyDescent="0.25">
      <c r="A17" s="4" t="s">
        <v>106</v>
      </c>
      <c r="B17" s="5">
        <f t="shared" ref="B17" si="2">+C17+F17+G17+H17</f>
        <v>34030558378.075874</v>
      </c>
      <c r="C17" s="22">
        <v>26725632075.817657</v>
      </c>
      <c r="D17" s="5"/>
      <c r="E17" s="22"/>
      <c r="F17" s="22">
        <v>3226576302.2582188</v>
      </c>
      <c r="G17" s="22">
        <v>3055850000</v>
      </c>
      <c r="H17" s="24">
        <v>1022500000</v>
      </c>
    </row>
    <row r="18" spans="1:8" x14ac:dyDescent="0.25">
      <c r="A18" s="42" t="s">
        <v>107</v>
      </c>
      <c r="B18" s="5">
        <f>+C18+F18+G18+H18</f>
        <v>29984890030.880001</v>
      </c>
      <c r="C18" s="22">
        <f t="shared" si="1"/>
        <v>22488042702.220001</v>
      </c>
      <c r="D18" s="5">
        <v>16195103315.763773</v>
      </c>
      <c r="E18" s="22">
        <v>6292939386.4562292</v>
      </c>
      <c r="F18" s="22">
        <v>2256757758.2999997</v>
      </c>
      <c r="G18" s="22">
        <v>4217589570.3400002</v>
      </c>
      <c r="H18" s="24">
        <v>1022500000.02</v>
      </c>
    </row>
    <row r="19" spans="1:8" x14ac:dyDescent="0.25">
      <c r="A19" s="4" t="s">
        <v>85</v>
      </c>
      <c r="B19" s="5">
        <f>+C19+F19+G19+H19</f>
        <v>112658908378.0759</v>
      </c>
      <c r="C19" s="22">
        <v>86209232075.817673</v>
      </c>
      <c r="D19" s="22"/>
      <c r="E19" s="22"/>
      <c r="F19" s="22">
        <v>10136276302.258219</v>
      </c>
      <c r="G19" s="22">
        <v>12223400000</v>
      </c>
      <c r="H19" s="22">
        <v>4090000000</v>
      </c>
    </row>
    <row r="20" spans="1:8" x14ac:dyDescent="0.25">
      <c r="A20" s="4" t="s">
        <v>108</v>
      </c>
      <c r="B20" s="41">
        <f>C20+F20+G20</f>
        <v>28962390030.860001</v>
      </c>
      <c r="C20" s="22">
        <f>SUM(D20:E20)</f>
        <v>22488042702.220001</v>
      </c>
      <c r="D20" s="5">
        <f>+D18</f>
        <v>16195103315.763773</v>
      </c>
      <c r="E20" s="5">
        <f t="shared" ref="E20:G20" si="3">+E18</f>
        <v>6292939386.4562292</v>
      </c>
      <c r="F20" s="5">
        <f t="shared" si="3"/>
        <v>2256757758.2999997</v>
      </c>
      <c r="G20" s="41">
        <f t="shared" si="3"/>
        <v>4217589570.3400002</v>
      </c>
      <c r="H20" s="5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106</v>
      </c>
      <c r="B23" s="8">
        <f>B17</f>
        <v>34030558378.075874</v>
      </c>
      <c r="C23" s="8"/>
      <c r="D23" s="8"/>
      <c r="E23" s="8"/>
      <c r="F23" s="8"/>
      <c r="G23" s="8"/>
      <c r="H23" s="8"/>
    </row>
    <row r="24" spans="1:8" x14ac:dyDescent="0.25">
      <c r="A24" s="9" t="s">
        <v>107</v>
      </c>
      <c r="B24" s="8">
        <v>17351737790.98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64</v>
      </c>
      <c r="B27" s="23">
        <v>1.5597333333333332</v>
      </c>
      <c r="C27" s="23">
        <v>1.5597333333333332</v>
      </c>
      <c r="D27" s="23">
        <v>1.5597333333333332</v>
      </c>
      <c r="E27" s="23">
        <v>1.5597333333333332</v>
      </c>
      <c r="F27" s="23">
        <v>1.5597333333333332</v>
      </c>
      <c r="G27" s="23">
        <v>1.5597333333333332</v>
      </c>
      <c r="H27" s="23">
        <v>1.5597333333333332</v>
      </c>
    </row>
    <row r="28" spans="1:8" x14ac:dyDescent="0.25">
      <c r="A28" s="10" t="s">
        <v>109</v>
      </c>
      <c r="B28" s="23">
        <v>1.6181333333333334</v>
      </c>
      <c r="C28" s="23">
        <v>1.6181333333333334</v>
      </c>
      <c r="D28" s="23">
        <v>1.6181333333333334</v>
      </c>
      <c r="E28" s="23">
        <v>1.6181333333333334</v>
      </c>
      <c r="F28" s="23">
        <v>1.6181333333333334</v>
      </c>
      <c r="G28" s="23">
        <v>1.6181333333333334</v>
      </c>
      <c r="H28" s="23">
        <v>1.6181333333333334</v>
      </c>
    </row>
    <row r="29" spans="1:8" x14ac:dyDescent="0.25">
      <c r="A29" s="4" t="s">
        <v>8</v>
      </c>
      <c r="B29" s="24">
        <f>+D29+F29</f>
        <v>89249</v>
      </c>
      <c r="C29" s="39"/>
      <c r="D29" s="24">
        <v>83010</v>
      </c>
      <c r="E29" s="24" t="s">
        <v>77</v>
      </c>
      <c r="F29" s="24">
        <v>6239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65</v>
      </c>
      <c r="B32" s="13">
        <f>B16/B27</f>
        <v>23336412438.350571</v>
      </c>
      <c r="C32" s="13">
        <f>C16/C27</f>
        <v>16664726895.779551</v>
      </c>
      <c r="D32" s="13">
        <f>D16/D27</f>
        <v>12045842341.843124</v>
      </c>
      <c r="E32" s="13">
        <f t="shared" ref="E32:H32" si="4">E16/E27</f>
        <v>4618884553.9364281</v>
      </c>
      <c r="F32" s="13">
        <f t="shared" si="4"/>
        <v>1686705212.1619802</v>
      </c>
      <c r="G32" s="13">
        <f t="shared" si="4"/>
        <v>4434726013.4830742</v>
      </c>
      <c r="H32" s="13">
        <f t="shared" si="4"/>
        <v>550254316.92597032</v>
      </c>
    </row>
    <row r="33" spans="1:8" x14ac:dyDescent="0.25">
      <c r="A33" s="12" t="s">
        <v>110</v>
      </c>
      <c r="B33" s="13">
        <f>B18/B28</f>
        <v>18530543443.605801</v>
      </c>
      <c r="C33" s="13">
        <f>C18/C28</f>
        <v>13897521445.834707</v>
      </c>
      <c r="D33" s="13">
        <f>D18/D28</f>
        <v>10008509794.679325</v>
      </c>
      <c r="E33" s="13">
        <f t="shared" ref="E33:H33" si="5">E18/E28</f>
        <v>3889011651.1553822</v>
      </c>
      <c r="F33" s="13">
        <f t="shared" si="5"/>
        <v>1394667368.7582397</v>
      </c>
      <c r="G33" s="13">
        <f t="shared" si="5"/>
        <v>2606453673.1666117</v>
      </c>
      <c r="H33" s="13">
        <f t="shared" si="5"/>
        <v>631900955.84624255</v>
      </c>
    </row>
    <row r="34" spans="1:8" x14ac:dyDescent="0.25">
      <c r="A34" s="12" t="s">
        <v>66</v>
      </c>
      <c r="B34" s="13">
        <f>B32/B10</f>
        <v>243371.56305638421</v>
      </c>
      <c r="C34" s="13">
        <f>C32/C10</f>
        <v>179587.11954472473</v>
      </c>
      <c r="D34" s="13">
        <f>D32/D10</f>
        <v>179508.26582120155</v>
      </c>
      <c r="E34" s="13">
        <f t="shared" ref="E34:F34" si="6">E32/E10</f>
        <v>179793.09279627979</v>
      </c>
      <c r="F34" s="13">
        <f t="shared" si="6"/>
        <v>545271.08151788148</v>
      </c>
      <c r="G34" s="13"/>
      <c r="H34" s="13"/>
    </row>
    <row r="35" spans="1:8" x14ac:dyDescent="0.25">
      <c r="A35" s="12" t="s">
        <v>111</v>
      </c>
      <c r="B35" s="13">
        <f>B33/B12</f>
        <v>185886.63999711565</v>
      </c>
      <c r="C35" s="13">
        <f>C33/C12</f>
        <v>144125.78976525817</v>
      </c>
      <c r="D35" s="13">
        <f>D33/D12</f>
        <v>144132.4573564484</v>
      </c>
      <c r="E35" s="13">
        <f t="shared" ref="E35:F35" si="7">E33/E12</f>
        <v>144108.63331850476</v>
      </c>
      <c r="F35" s="13">
        <f t="shared" si="7"/>
        <v>427680.88585042616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108.64940594067566</v>
      </c>
      <c r="C40" s="14"/>
      <c r="D40" s="14">
        <f>(C11)/D29*100</f>
        <v>114.87772557523191</v>
      </c>
      <c r="E40" s="14"/>
      <c r="F40" s="14">
        <f>(F11)/F29*100</f>
        <v>57.060426350376659</v>
      </c>
      <c r="G40" s="14"/>
    </row>
    <row r="41" spans="1:8" x14ac:dyDescent="0.25">
      <c r="A41" s="1" t="s">
        <v>13</v>
      </c>
      <c r="B41" s="14">
        <f>((D41*C18+F41*F18)/(C18+F18))</f>
        <v>80.789892788070148</v>
      </c>
      <c r="C41" s="40"/>
      <c r="D41" s="14">
        <f>(D12)/D29*100</f>
        <v>83.652170421234402</v>
      </c>
      <c r="E41" s="14"/>
      <c r="F41" s="14">
        <f t="shared" ref="F41" si="8">(F12)/F29*100</f>
        <v>52.267991665330982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100.77571101226582</v>
      </c>
      <c r="C44" s="14">
        <f>C12/C11*100</f>
        <v>101.1182186800895</v>
      </c>
      <c r="D44" s="14"/>
      <c r="E44" s="14"/>
      <c r="F44" s="14">
        <f>F12/F11*100</f>
        <v>91.601123595505612</v>
      </c>
      <c r="G44" s="14"/>
    </row>
    <row r="45" spans="1:8" x14ac:dyDescent="0.25">
      <c r="A45" s="1" t="s">
        <v>16</v>
      </c>
      <c r="B45" s="14">
        <f>B18/B17*100</f>
        <v>88.111660401663329</v>
      </c>
      <c r="C45" s="14">
        <f>C18/C17*100</f>
        <v>84.144100459154402</v>
      </c>
      <c r="D45" s="14"/>
      <c r="E45" s="14"/>
      <c r="F45" s="14">
        <f>F18/F17*100</f>
        <v>69.94279839967021</v>
      </c>
      <c r="G45" s="14">
        <f>G18/G17*100</f>
        <v>138.01690430943927</v>
      </c>
      <c r="H45" s="14">
        <f>H18/H17*100</f>
        <v>100.000000001956</v>
      </c>
    </row>
    <row r="46" spans="1:8" x14ac:dyDescent="0.25">
      <c r="A46" s="12" t="s">
        <v>17</v>
      </c>
      <c r="B46" s="15">
        <f>AVERAGE(B44:B45)</f>
        <v>94.443685706964573</v>
      </c>
      <c r="C46" s="15">
        <f>AVERAGE(C44:C45)</f>
        <v>92.631159569621957</v>
      </c>
      <c r="D46" s="15"/>
      <c r="E46" s="15"/>
      <c r="F46" s="15">
        <f t="shared" ref="F46:H46" si="9">AVERAGE(F44:F45)</f>
        <v>80.771960997587911</v>
      </c>
      <c r="G46" s="15">
        <f>AVERAGE(G44:G45)</f>
        <v>138.01690430943927</v>
      </c>
      <c r="H46" s="15">
        <f t="shared" si="9"/>
        <v>100.000000001956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B12/(B13)*100</f>
        <v>101.73734074943445</v>
      </c>
      <c r="C49" s="16">
        <f>C12/(C13)*100</f>
        <v>102.0082233130219</v>
      </c>
      <c r="D49" s="16"/>
      <c r="E49" s="16"/>
      <c r="F49" s="16">
        <f>F12/(F13)*100</f>
        <v>94.330344229100376</v>
      </c>
      <c r="G49" s="16"/>
      <c r="H49" s="16"/>
    </row>
    <row r="50" spans="1:8" x14ac:dyDescent="0.25">
      <c r="A50" s="1" t="s">
        <v>20</v>
      </c>
      <c r="B50" s="14">
        <f>B18/B19*100</f>
        <v>26.615640487348486</v>
      </c>
      <c r="C50" s="14">
        <f>C18/C19*100</f>
        <v>26.085422826226594</v>
      </c>
      <c r="D50" s="14"/>
      <c r="E50" s="14"/>
      <c r="F50" s="14">
        <f>F18/F19*100</f>
        <v>22.264169710894976</v>
      </c>
      <c r="G50" s="14">
        <f>G18/G19*100</f>
        <v>34.504226077359817</v>
      </c>
      <c r="H50" s="14">
        <f>H18/H19*100</f>
        <v>25.000000000488999</v>
      </c>
    </row>
    <row r="51" spans="1:8" x14ac:dyDescent="0.25">
      <c r="A51" s="1" t="s">
        <v>21</v>
      </c>
      <c r="B51" s="14">
        <f>(B49+B50)/2</f>
        <v>64.176490618391469</v>
      </c>
      <c r="C51" s="14">
        <f t="shared" ref="C51" si="10">(C49+C50)/2</f>
        <v>64.046823069624253</v>
      </c>
      <c r="D51" s="14"/>
      <c r="E51" s="14"/>
      <c r="F51" s="14">
        <f t="shared" ref="F51" si="11">(F49+F50)/2</f>
        <v>58.297256969997676</v>
      </c>
      <c r="G51" s="14">
        <f>AVERAGE(G49:G50)</f>
        <v>34.504226077359817</v>
      </c>
      <c r="H51" s="14">
        <f t="shared" ref="H51" si="12">AVERAGE(H49:H50)</f>
        <v>25.000000000488999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96.589949141160844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3.9622615273374517</v>
      </c>
      <c r="C57" s="14">
        <f>((C12/C10)-1)*100</f>
        <v>3.9136588309673037</v>
      </c>
      <c r="D57" s="14">
        <f t="shared" ref="D57:F57" si="13">((D12/D10)-1)*100</f>
        <v>3.4796387732596745</v>
      </c>
      <c r="E57" s="14">
        <f t="shared" si="13"/>
        <v>5.0473595432723561</v>
      </c>
      <c r="F57" s="14">
        <f t="shared" si="13"/>
        <v>5.4202586206896441</v>
      </c>
      <c r="G57" s="14"/>
      <c r="H57" s="14"/>
    </row>
    <row r="58" spans="1:8" x14ac:dyDescent="0.25">
      <c r="A58" s="1" t="s">
        <v>25</v>
      </c>
      <c r="B58" s="14">
        <f>((B33/B32)-1)*100</f>
        <v>-20.5938638059332</v>
      </c>
      <c r="C58" s="14">
        <f>((C33/C32)-1)*100</f>
        <v>-16.605165312644012</v>
      </c>
      <c r="D58" s="14">
        <f t="shared" ref="D58:G58" si="14">((D33/D32)-1)*100</f>
        <v>-16.913159655815889</v>
      </c>
      <c r="E58" s="14">
        <f t="shared" si="14"/>
        <v>-15.801929973742567</v>
      </c>
      <c r="F58" s="14">
        <f t="shared" si="14"/>
        <v>-17.314100964294344</v>
      </c>
      <c r="G58" s="14">
        <f t="shared" si="14"/>
        <v>-41.226274966207455</v>
      </c>
      <c r="H58" s="14">
        <f>((H33/H32)-1)*100</f>
        <v>14.837982439900909</v>
      </c>
    </row>
    <row r="59" spans="1:8" x14ac:dyDescent="0.25">
      <c r="A59" s="12" t="s">
        <v>26</v>
      </c>
      <c r="B59" s="15">
        <f>((B35/B34)-1)*100</f>
        <v>-23.620230045508841</v>
      </c>
      <c r="C59" s="15">
        <f>((C35/C34)-1)*100</f>
        <v>-19.746031825314279</v>
      </c>
      <c r="D59" s="15">
        <f t="shared" ref="D59:F59" si="15">((D35/D34)-1)*100</f>
        <v>-19.707063796153591</v>
      </c>
      <c r="E59" s="15">
        <f t="shared" si="15"/>
        <v>-19.847514119025934</v>
      </c>
      <c r="F59" s="15">
        <f t="shared" si="15"/>
        <v>-21.565456092062917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5">
        <f>B17/(B11*3)</f>
        <v>114673.67023209285</v>
      </c>
      <c r="C62" s="5">
        <f>C17/(C11*3)</f>
        <v>93420.134493210498</v>
      </c>
      <c r="D62" s="5"/>
      <c r="E62" s="5"/>
      <c r="F62" s="5">
        <f t="shared" ref="F62" si="16">F17/(F11*3)</f>
        <v>302113.88597923395</v>
      </c>
      <c r="G62" s="5"/>
      <c r="H62" s="5"/>
    </row>
    <row r="63" spans="1:8" x14ac:dyDescent="0.25">
      <c r="A63" s="1" t="s">
        <v>35</v>
      </c>
      <c r="B63" s="5">
        <f>B18/(B12*3)</f>
        <v>100263.12280022203</v>
      </c>
      <c r="C63" s="5">
        <f>C18/(C12*3)</f>
        <v>77738.248204052143</v>
      </c>
      <c r="D63" s="5">
        <f t="shared" ref="D63:F63" si="17">D18/(D12*3)</f>
        <v>77741.844554571464</v>
      </c>
      <c r="E63" s="5">
        <f t="shared" si="17"/>
        <v>77728.99439792773</v>
      </c>
      <c r="F63" s="5">
        <f t="shared" si="17"/>
        <v>230681.56580803433</v>
      </c>
      <c r="G63" s="5"/>
      <c r="H63" s="5"/>
    </row>
    <row r="64" spans="1:8" x14ac:dyDescent="0.25">
      <c r="A64" s="12" t="s">
        <v>28</v>
      </c>
      <c r="B64" s="15">
        <f>(B62/B63)*B46</f>
        <v>108.01782118679324</v>
      </c>
      <c r="C64" s="15">
        <f>(C62/C63)*C46</f>
        <v>111.31734487432213</v>
      </c>
      <c r="D64" s="15"/>
      <c r="E64" s="15"/>
      <c r="F64" s="15">
        <f t="shared" ref="F64" si="18">(F62/F63)*F46</f>
        <v>105.78361963890617</v>
      </c>
      <c r="G64" s="15"/>
      <c r="H64" s="15"/>
    </row>
    <row r="65" spans="1:8" x14ac:dyDescent="0.25">
      <c r="A65" s="16" t="s">
        <v>36</v>
      </c>
      <c r="B65" s="5">
        <f>B17/B11</f>
        <v>344021.01069627854</v>
      </c>
      <c r="C65" s="5">
        <f>C17/C11</f>
        <v>280260.40347963147</v>
      </c>
      <c r="D65" s="5"/>
      <c r="E65" s="5"/>
      <c r="F65" s="5">
        <f t="shared" ref="F65" si="19">F17/F11</f>
        <v>906341.65793770191</v>
      </c>
      <c r="G65" s="16"/>
      <c r="H65" s="16"/>
    </row>
    <row r="66" spans="1:8" x14ac:dyDescent="0.25">
      <c r="A66" s="16" t="s">
        <v>37</v>
      </c>
      <c r="B66" s="5">
        <f>B18/B12</f>
        <v>300789.36840066605</v>
      </c>
      <c r="C66" s="5">
        <f>C18/C12</f>
        <v>233214.74461215641</v>
      </c>
      <c r="D66" s="22">
        <f>D18/D12</f>
        <v>233225.53366371439</v>
      </c>
      <c r="E66" s="5">
        <f t="shared" ref="E66:F66" si="20">E18/E12</f>
        <v>233186.98319378318</v>
      </c>
      <c r="F66" s="5">
        <f t="shared" si="20"/>
        <v>692044.69742410292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50.988695507737617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172.80626524028693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4" spans="1:8" x14ac:dyDescent="0.25">
      <c r="A74" s="1" t="s">
        <v>32</v>
      </c>
    </row>
    <row r="75" spans="1:8" x14ac:dyDescent="0.25">
      <c r="A75" s="1" t="s">
        <v>127</v>
      </c>
      <c r="B75" s="20"/>
      <c r="C75" s="20"/>
      <c r="D75" s="20"/>
      <c r="E75" s="20"/>
      <c r="F75" s="20"/>
    </row>
    <row r="76" spans="1:8" x14ac:dyDescent="0.25">
      <c r="A76" s="1" t="s">
        <v>90</v>
      </c>
    </row>
    <row r="77" spans="1:8" x14ac:dyDescent="0.25">
      <c r="A77" s="1" t="s">
        <v>128</v>
      </c>
    </row>
    <row r="79" spans="1:8" x14ac:dyDescent="0.25">
      <c r="A79" s="1" t="s">
        <v>48</v>
      </c>
    </row>
    <row r="80" spans="1:8" x14ac:dyDescent="0.25">
      <c r="A80" s="1" t="s">
        <v>50</v>
      </c>
    </row>
    <row r="81" spans="1:1" x14ac:dyDescent="0.25">
      <c r="A81" s="1" t="s">
        <v>49</v>
      </c>
    </row>
    <row r="82" spans="1:1" x14ac:dyDescent="0.25">
      <c r="A82" s="1" t="s">
        <v>47</v>
      </c>
    </row>
    <row r="83" spans="1:1" x14ac:dyDescent="0.25">
      <c r="A83" s="33" t="s">
        <v>78</v>
      </c>
    </row>
    <row r="84" spans="1:1" x14ac:dyDescent="0.25">
      <c r="A84" s="34" t="s">
        <v>79</v>
      </c>
    </row>
    <row r="85" spans="1:1" x14ac:dyDescent="0.25">
      <c r="A85" s="34" t="s">
        <v>80</v>
      </c>
    </row>
    <row r="87" spans="1:1" x14ac:dyDescent="0.25">
      <c r="A87" s="1" t="s">
        <v>131</v>
      </c>
    </row>
  </sheetData>
  <mergeCells count="7">
    <mergeCell ref="A4:A5"/>
    <mergeCell ref="A2:H2"/>
    <mergeCell ref="B4:B5"/>
    <mergeCell ref="G4:G5"/>
    <mergeCell ref="H4:H5"/>
    <mergeCell ref="D4:F4"/>
    <mergeCell ref="C5:E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5"/>
  <sheetViews>
    <sheetView workbookViewId="0">
      <selection activeCell="D74" sqref="D74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7" t="s">
        <v>112</v>
      </c>
      <c r="B2" s="47"/>
      <c r="C2" s="47"/>
      <c r="D2" s="47"/>
      <c r="E2" s="47"/>
      <c r="F2" s="47"/>
      <c r="G2" s="47"/>
      <c r="H2" s="47"/>
    </row>
    <row r="4" spans="1:8" x14ac:dyDescent="0.25">
      <c r="A4" s="45" t="s">
        <v>0</v>
      </c>
      <c r="B4" s="45" t="s">
        <v>38</v>
      </c>
      <c r="C4" s="36"/>
      <c r="D4" s="36"/>
      <c r="E4" s="37" t="s">
        <v>1</v>
      </c>
      <c r="F4" s="29"/>
      <c r="G4" s="45" t="s">
        <v>2</v>
      </c>
      <c r="H4" s="45" t="s">
        <v>3</v>
      </c>
    </row>
    <row r="5" spans="1:8" ht="15.75" thickBot="1" x14ac:dyDescent="0.3">
      <c r="A5" s="46"/>
      <c r="B5" s="46"/>
      <c r="C5" s="48" t="s">
        <v>39</v>
      </c>
      <c r="D5" s="48"/>
      <c r="E5" s="48"/>
      <c r="F5" s="35" t="s">
        <v>81</v>
      </c>
      <c r="G5" s="46"/>
      <c r="H5" s="46"/>
    </row>
    <row r="6" spans="1:8" ht="15.75" thickTop="1" x14ac:dyDescent="0.25">
      <c r="C6" s="38" t="s">
        <v>129</v>
      </c>
      <c r="D6" s="28" t="s">
        <v>75</v>
      </c>
      <c r="E6" s="28" t="s">
        <v>76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67</v>
      </c>
      <c r="B10" s="22">
        <f>+C10+F10</f>
        <v>93556.833333333343</v>
      </c>
      <c r="C10" s="22">
        <f>SUM(D10:E10)</f>
        <v>90686.166666666672</v>
      </c>
      <c r="D10" s="22">
        <f>(+'I Trimestre'!D10+'II Trimestre'!D10)/2</f>
        <v>64857.166666666672</v>
      </c>
      <c r="E10" s="5">
        <f>(+'I Trimestre'!E10+'II Trimestre'!E10)/2</f>
        <v>25829</v>
      </c>
      <c r="F10" s="5">
        <f>(+'I Trimestre'!F10+'II Trimestre'!F10)/2</f>
        <v>2870.6666666666665</v>
      </c>
      <c r="G10" s="5">
        <f>+'I Trimestre'!G10+'II Trimestre'!G10/2</f>
        <v>0</v>
      </c>
      <c r="H10" s="5">
        <f>+'I Trimestre'!H10+'II Trimestre'!H10/2</f>
        <v>0</v>
      </c>
    </row>
    <row r="11" spans="1:8" x14ac:dyDescent="0.25">
      <c r="A11" s="4" t="s">
        <v>113</v>
      </c>
      <c r="B11" s="22">
        <f t="shared" ref="B11:B13" si="0">+C11+F11</f>
        <v>97360</v>
      </c>
      <c r="C11" s="22">
        <f>(+'I Trimestre'!C11+'II Trimestre'!C11)/2</f>
        <v>93972.5</v>
      </c>
      <c r="D11" s="22"/>
      <c r="E11" s="5"/>
      <c r="F11" s="5">
        <f>(+'I Trimestre'!F11+'II Trimestre'!F11)/2</f>
        <v>3387.5</v>
      </c>
      <c r="G11" s="5">
        <f>+'I Trimestre'!G11+'II Trimestre'!G11/2</f>
        <v>0</v>
      </c>
      <c r="H11" s="5">
        <f>+'I Trimestre'!H11+'II Trimestre'!H11/2</f>
        <v>0</v>
      </c>
    </row>
    <row r="12" spans="1:8" x14ac:dyDescent="0.25">
      <c r="A12" s="4" t="s">
        <v>114</v>
      </c>
      <c r="B12" s="22">
        <f t="shared" si="0"/>
        <v>96755.000000000015</v>
      </c>
      <c r="C12" s="22">
        <f t="shared" ref="C12:C20" si="1">SUM(D12:E12)</f>
        <v>93597.166666666686</v>
      </c>
      <c r="D12" s="22">
        <f>(+'I Trimestre'!D12+'II Trimestre'!D12)/2</f>
        <v>67068.333333333343</v>
      </c>
      <c r="E12" s="5">
        <f>(+'I Trimestre'!E12+'II Trimestre'!E12)/2</f>
        <v>26528.833333333336</v>
      </c>
      <c r="F12" s="5">
        <f>(+'I Trimestre'!F12+'II Trimestre'!F12)/2</f>
        <v>3157.833333333333</v>
      </c>
      <c r="G12" s="5">
        <f>+'I Trimestre'!G12+'II Trimestre'!G12/2</f>
        <v>0</v>
      </c>
      <c r="H12" s="5">
        <f>+'I Trimestre'!H12+'II Trimestre'!H12/2</f>
        <v>0</v>
      </c>
    </row>
    <row r="13" spans="1:8" x14ac:dyDescent="0.25">
      <c r="A13" s="4" t="s">
        <v>85</v>
      </c>
      <c r="B13" s="22">
        <f t="shared" si="0"/>
        <v>97985</v>
      </c>
      <c r="C13" s="22">
        <f>'II Trimestre'!C13</f>
        <v>94528</v>
      </c>
      <c r="D13" s="22"/>
      <c r="E13" s="22"/>
      <c r="F13" s="22">
        <f>'II Trimestre'!F13</f>
        <v>3457</v>
      </c>
      <c r="G13" s="22">
        <f>'II Trimestre'!G13</f>
        <v>0</v>
      </c>
      <c r="H13" s="22">
        <f>'II Trimestre'!H13</f>
        <v>0</v>
      </c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67</v>
      </c>
      <c r="B16" s="5">
        <f>+C16+F16+G16+H16</f>
        <v>43888934864.729996</v>
      </c>
      <c r="C16" s="22">
        <f t="shared" si="1"/>
        <v>33619408385.669998</v>
      </c>
      <c r="D16" s="5">
        <f>+'I Trimestre'!D16+'II Trimestre'!D16</f>
        <v>24045673641.879436</v>
      </c>
      <c r="E16" s="22">
        <f>+'I Trimestre'!E16+'II Trimestre'!E16</f>
        <v>9573734743.7905636</v>
      </c>
      <c r="F16" s="22">
        <f>+'I Trimestre'!F16+'II Trimestre'!F16</f>
        <v>3621875968.5500002</v>
      </c>
      <c r="G16" s="22">
        <f>+'I Trimestre'!G16+'II Trimestre'!G16</f>
        <v>4931150510.4899998</v>
      </c>
      <c r="H16" s="22">
        <f>+'I Trimestre'!H16+'II Trimestre'!H16</f>
        <v>1716500000.02</v>
      </c>
    </row>
    <row r="17" spans="1:8" x14ac:dyDescent="0.25">
      <c r="A17" s="4" t="s">
        <v>113</v>
      </c>
      <c r="B17" s="5">
        <f t="shared" ref="B17:B19" si="2">+C17+F17+G17+H17</f>
        <v>52209700000</v>
      </c>
      <c r="C17" s="5">
        <f>+'I Trimestre'!C17+'II Trimestre'!C17</f>
        <v>39539000000</v>
      </c>
      <c r="D17" s="5"/>
      <c r="E17" s="22"/>
      <c r="F17" s="22">
        <f>+'I Trimestre'!F17+'II Trimestre'!F17</f>
        <v>4514000000</v>
      </c>
      <c r="G17" s="22">
        <f>+'I Trimestre'!G17+'II Trimestre'!G17</f>
        <v>6111700000</v>
      </c>
      <c r="H17" s="22">
        <f>+'I Trimestre'!H17+'II Trimestre'!H17</f>
        <v>2045000000</v>
      </c>
    </row>
    <row r="18" spans="1:8" x14ac:dyDescent="0.25">
      <c r="A18" s="4" t="s">
        <v>114</v>
      </c>
      <c r="B18" s="5">
        <f t="shared" si="2"/>
        <v>49639319434.370003</v>
      </c>
      <c r="C18" s="22">
        <f t="shared" si="1"/>
        <v>38243612774.290001</v>
      </c>
      <c r="D18" s="5">
        <f>+'I Trimestre'!D18+'II Trimestre'!D18</f>
        <v>27403933703.709251</v>
      </c>
      <c r="E18" s="22">
        <f>+'I Trimestre'!E18+'II Trimestre'!E18</f>
        <v>10839679070.580748</v>
      </c>
      <c r="F18" s="22">
        <f>+'I Trimestre'!F18+'II Trimestre'!F18</f>
        <v>4234399616.5</v>
      </c>
      <c r="G18" s="22">
        <f>+'I Trimestre'!G18+'II Trimestre'!G18</f>
        <v>5116307043.54</v>
      </c>
      <c r="H18" s="22">
        <f>+'I Trimestre'!H18+'II Trimestre'!H18</f>
        <v>2045000000.04</v>
      </c>
    </row>
    <row r="19" spans="1:8" x14ac:dyDescent="0.25">
      <c r="A19" s="4" t="s">
        <v>85</v>
      </c>
      <c r="B19" s="5">
        <f t="shared" si="2"/>
        <v>112658908378.0759</v>
      </c>
      <c r="C19" s="5">
        <f>+'II Trimestre'!C19</f>
        <v>86209232075.817673</v>
      </c>
      <c r="D19" s="5"/>
      <c r="E19" s="22"/>
      <c r="F19" s="22">
        <f>+'II Trimestre'!F19</f>
        <v>10136276302.258219</v>
      </c>
      <c r="G19" s="22">
        <f>+'II Trimestre'!G19</f>
        <v>12223400000</v>
      </c>
      <c r="H19" s="22">
        <f>+'II Trimestre'!H19</f>
        <v>4090000000</v>
      </c>
    </row>
    <row r="20" spans="1:8" x14ac:dyDescent="0.25">
      <c r="A20" s="4" t="s">
        <v>115</v>
      </c>
      <c r="B20" s="41">
        <f>+C20+F20+G20</f>
        <v>47594319434.330002</v>
      </c>
      <c r="C20" s="22">
        <f t="shared" si="1"/>
        <v>38243612774.290001</v>
      </c>
      <c r="D20" s="5">
        <f>+D18</f>
        <v>27403933703.709251</v>
      </c>
      <c r="E20" s="22">
        <f>+E18</f>
        <v>10839679070.580748</v>
      </c>
      <c r="F20" s="22">
        <f t="shared" ref="F20:G20" si="3">+F18</f>
        <v>4234399616.5</v>
      </c>
      <c r="G20" s="22">
        <f t="shared" si="3"/>
        <v>5116307043.54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113</v>
      </c>
      <c r="B23" s="8">
        <f>B17</f>
        <v>52209700000</v>
      </c>
      <c r="C23" s="8"/>
      <c r="D23" s="8"/>
      <c r="E23" s="8"/>
      <c r="F23" s="8"/>
      <c r="G23" s="8"/>
      <c r="H23" s="8"/>
    </row>
    <row r="24" spans="1:8" x14ac:dyDescent="0.25">
      <c r="A24" s="9" t="s">
        <v>114</v>
      </c>
      <c r="B24" s="8">
        <f>+'I Trimestre'!B24+'II Trimestre'!B24</f>
        <v>59013207932.099991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68</v>
      </c>
      <c r="B27" s="23">
        <v>1.5164078580333333</v>
      </c>
      <c r="C27" s="23">
        <v>1.5164078580333333</v>
      </c>
      <c r="D27" s="23">
        <v>1.5164078580333333</v>
      </c>
      <c r="E27" s="23">
        <v>1.5164078580333333</v>
      </c>
      <c r="F27" s="23">
        <v>1.5164078580333333</v>
      </c>
      <c r="G27" s="23">
        <v>1.5164078580333333</v>
      </c>
      <c r="H27" s="23">
        <v>1.5164078580333333</v>
      </c>
    </row>
    <row r="28" spans="1:8" x14ac:dyDescent="0.25">
      <c r="A28" s="10" t="s">
        <v>116</v>
      </c>
      <c r="B28" s="23">
        <v>1.6071376151833332</v>
      </c>
      <c r="C28" s="23">
        <v>1.6071376151833332</v>
      </c>
      <c r="D28" s="23">
        <v>1.6071376151833332</v>
      </c>
      <c r="E28" s="23">
        <v>1.6071376151833332</v>
      </c>
      <c r="F28" s="23">
        <v>1.6071376151833332</v>
      </c>
      <c r="G28" s="23">
        <v>1.6071376151833332</v>
      </c>
      <c r="H28" s="23">
        <v>1.6071376151833332</v>
      </c>
    </row>
    <row r="29" spans="1:8" x14ac:dyDescent="0.25">
      <c r="A29" s="4" t="s">
        <v>8</v>
      </c>
      <c r="B29" s="24">
        <f>+D29+F29</f>
        <v>89249</v>
      </c>
      <c r="C29" s="39"/>
      <c r="D29" s="24">
        <v>83010</v>
      </c>
      <c r="E29" s="24" t="s">
        <v>77</v>
      </c>
      <c r="F29" s="24">
        <v>6239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69</v>
      </c>
      <c r="B32" s="13">
        <f>B16/B27</f>
        <v>28942698121.896198</v>
      </c>
      <c r="C32" s="13">
        <f>C16/C27</f>
        <v>22170426120.89325</v>
      </c>
      <c r="D32" s="13">
        <f>D16/D27</f>
        <v>15856996199.600853</v>
      </c>
      <c r="E32" s="13">
        <f t="shared" ref="E32:H32" si="4">E16/E27</f>
        <v>6313429921.2923994</v>
      </c>
      <c r="F32" s="13">
        <f t="shared" si="4"/>
        <v>2388457662.8660445</v>
      </c>
      <c r="G32" s="13">
        <f t="shared" si="4"/>
        <v>3251862936.7202897</v>
      </c>
      <c r="H32" s="13">
        <f t="shared" si="4"/>
        <v>1131951401.4166157</v>
      </c>
    </row>
    <row r="33" spans="1:8" x14ac:dyDescent="0.25">
      <c r="A33" s="12" t="s">
        <v>117</v>
      </c>
      <c r="B33" s="13">
        <f>B18/B28</f>
        <v>30886788390.369064</v>
      </c>
      <c r="C33" s="13">
        <f>C18/C28</f>
        <v>23796103341.11145</v>
      </c>
      <c r="D33" s="13">
        <f>D18/D28</f>
        <v>17051392142.659273</v>
      </c>
      <c r="E33" s="13">
        <f t="shared" ref="E33:H33" si="5">E18/E28</f>
        <v>6744711198.4521732</v>
      </c>
      <c r="F33" s="13">
        <f t="shared" si="5"/>
        <v>2634746132.8113856</v>
      </c>
      <c r="G33" s="13">
        <f t="shared" si="5"/>
        <v>3183490321.6775002</v>
      </c>
      <c r="H33" s="13">
        <f t="shared" si="5"/>
        <v>1272448594.7687297</v>
      </c>
    </row>
    <row r="34" spans="1:8" x14ac:dyDescent="0.25">
      <c r="A34" s="12" t="s">
        <v>70</v>
      </c>
      <c r="B34" s="13">
        <f>B32/B10</f>
        <v>309359.53142809303</v>
      </c>
      <c r="C34" s="13">
        <f>C32/C10</f>
        <v>244474.17876184624</v>
      </c>
      <c r="D34" s="13">
        <f>D32/D10</f>
        <v>244491.04107642977</v>
      </c>
      <c r="E34" s="13">
        <f t="shared" ref="E34:F34" si="6">E32/E10</f>
        <v>244431.83713238605</v>
      </c>
      <c r="F34" s="13">
        <f t="shared" si="6"/>
        <v>832021.94479773962</v>
      </c>
      <c r="G34" s="13"/>
      <c r="H34" s="13"/>
    </row>
    <row r="35" spans="1:8" x14ac:dyDescent="0.25">
      <c r="A35" s="12" t="s">
        <v>118</v>
      </c>
      <c r="B35" s="13">
        <f>B33/B12</f>
        <v>319226.79334782762</v>
      </c>
      <c r="C35" s="13">
        <f>C33/C12</f>
        <v>254239.56930083118</v>
      </c>
      <c r="D35" s="13">
        <f>D33/D12</f>
        <v>254239.09161292121</v>
      </c>
      <c r="E35" s="13">
        <f t="shared" ref="E35:F35" si="7">E33/E12</f>
        <v>254240.77695785739</v>
      </c>
      <c r="F35" s="13">
        <f t="shared" si="7"/>
        <v>834352.49891108437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107.16981114617482</v>
      </c>
      <c r="C40" s="14"/>
      <c r="D40" s="14">
        <f>(C11)/D29*100</f>
        <v>113.20624021202266</v>
      </c>
      <c r="E40" s="14"/>
      <c r="F40" s="14">
        <f>(F11)/F29*100</f>
        <v>54.295560185927229</v>
      </c>
      <c r="G40" s="14"/>
    </row>
    <row r="41" spans="1:8" x14ac:dyDescent="0.25">
      <c r="A41" s="1" t="s">
        <v>13</v>
      </c>
      <c r="B41" s="14">
        <f>((D41*C18+F41*F18)/(C18+F18))</f>
        <v>77.786901302052016</v>
      </c>
      <c r="C41" s="40"/>
      <c r="D41" s="14">
        <f>(D12)/D29*100</f>
        <v>80.795486487571793</v>
      </c>
      <c r="E41" s="14"/>
      <c r="F41" s="14">
        <f t="shared" ref="F41" si="8">(F12)/F29*100</f>
        <v>50.614414703210976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99.378594905505352</v>
      </c>
      <c r="C44" s="14">
        <f>C12/C11*100</f>
        <v>99.600592371881874</v>
      </c>
      <c r="D44" s="14"/>
      <c r="E44" s="14"/>
      <c r="F44" s="14">
        <f>F12/F11*100</f>
        <v>93.220172201722008</v>
      </c>
      <c r="G44" s="14"/>
    </row>
    <row r="45" spans="1:8" x14ac:dyDescent="0.25">
      <c r="A45" s="1" t="s">
        <v>16</v>
      </c>
      <c r="B45" s="14">
        <f>B18/B17*100</f>
        <v>95.076814144440604</v>
      </c>
      <c r="C45" s="14">
        <f>C18/C17*100</f>
        <v>96.723773424441688</v>
      </c>
      <c r="D45" s="14"/>
      <c r="E45" s="14"/>
      <c r="F45" s="14">
        <f>F18/F17*100</f>
        <v>93.805928588834746</v>
      </c>
      <c r="G45" s="14">
        <f>G18/G17*100</f>
        <v>83.713321065170092</v>
      </c>
      <c r="H45" s="14">
        <f>H18/H17*100</f>
        <v>100.000000001956</v>
      </c>
    </row>
    <row r="46" spans="1:8" x14ac:dyDescent="0.25">
      <c r="A46" s="12" t="s">
        <v>17</v>
      </c>
      <c r="B46" s="15">
        <f>AVERAGE(B44:B45)</f>
        <v>97.227704524972978</v>
      </c>
      <c r="C46" s="15">
        <f>AVERAGE(C44:C45)</f>
        <v>98.162182898161774</v>
      </c>
      <c r="D46" s="15"/>
      <c r="E46" s="15"/>
      <c r="F46" s="15">
        <f t="shared" ref="F46:H46" si="9">AVERAGE(F44:F45)</f>
        <v>93.513050395278384</v>
      </c>
      <c r="G46" s="15">
        <f>AVERAGE(G44:G45)</f>
        <v>83.713321065170092</v>
      </c>
      <c r="H46" s="15">
        <f t="shared" si="9"/>
        <v>100.000000001956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B12/(B13)*100</f>
        <v>98.744705822319759</v>
      </c>
      <c r="C49" s="16">
        <f>C12/(C13)*100</f>
        <v>99.01528294967278</v>
      </c>
      <c r="D49" s="16"/>
      <c r="E49" s="16"/>
      <c r="F49" s="16">
        <f>F12/(F13)*100</f>
        <v>91.346061132002689</v>
      </c>
      <c r="G49" s="16"/>
      <c r="H49" s="16"/>
    </row>
    <row r="50" spans="1:8" x14ac:dyDescent="0.25">
      <c r="A50" s="1" t="s">
        <v>20</v>
      </c>
      <c r="B50" s="14">
        <f>B18/B19*100</f>
        <v>44.061601651405766</v>
      </c>
      <c r="C50" s="14">
        <f>C18/C19*100</f>
        <v>44.361388975900198</v>
      </c>
      <c r="D50" s="14"/>
      <c r="E50" s="14"/>
      <c r="F50" s="14">
        <f>F18/F19*100</f>
        <v>41.774705919930732</v>
      </c>
      <c r="G50" s="14">
        <f>G18/G19*100</f>
        <v>41.856660532585046</v>
      </c>
      <c r="H50" s="14">
        <f>H18/H19*100</f>
        <v>50.000000000977998</v>
      </c>
    </row>
    <row r="51" spans="1:8" x14ac:dyDescent="0.25">
      <c r="A51" s="1" t="s">
        <v>21</v>
      </c>
      <c r="B51" s="14">
        <f>(B49+B50)/2</f>
        <v>71.403153736862762</v>
      </c>
      <c r="C51" s="14">
        <f t="shared" ref="C51" si="10">(C49+C50)/2</f>
        <v>71.688335962786482</v>
      </c>
      <c r="D51" s="14"/>
      <c r="E51" s="14"/>
      <c r="F51" s="14">
        <f t="shared" ref="F51" si="11">(F49+F50)/2</f>
        <v>66.560383525966714</v>
      </c>
      <c r="G51" s="14">
        <f>AVERAGE(G49:G50)</f>
        <v>41.856660532585046</v>
      </c>
      <c r="H51" s="14">
        <f t="shared" ref="H51" si="12">AVERAGE(H49:H50)</f>
        <v>50.000000000977998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95.880281955227503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3.418421244840486</v>
      </c>
      <c r="C57" s="14">
        <f>((C12/C10)-1)*100</f>
        <v>3.2099713848308564</v>
      </c>
      <c r="D57" s="14">
        <f t="shared" ref="D57:F57" si="13">((D12/D10)-1)*100</f>
        <v>3.409286560467506</v>
      </c>
      <c r="E57" s="14">
        <f t="shared" si="13"/>
        <v>2.7094867526165745</v>
      </c>
      <c r="F57" s="14">
        <f t="shared" si="13"/>
        <v>10.003483511379475</v>
      </c>
      <c r="G57" s="14"/>
      <c r="H57" s="14"/>
    </row>
    <row r="58" spans="1:8" x14ac:dyDescent="0.25">
      <c r="A58" s="1" t="s">
        <v>25</v>
      </c>
      <c r="B58" s="14">
        <f>((B33/B32)-1)*100</f>
        <v>6.7170319100349873</v>
      </c>
      <c r="C58" s="14">
        <f>((C33/C32)-1)*100</f>
        <v>7.3326385850841724</v>
      </c>
      <c r="D58" s="14">
        <f t="shared" ref="D58:G58" si="14">((D33/D32)-1)*100</f>
        <v>7.5322963316878822</v>
      </c>
      <c r="E58" s="14">
        <f t="shared" si="14"/>
        <v>6.8311723189522278</v>
      </c>
      <c r="F58" s="14">
        <f t="shared" si="14"/>
        <v>10.311611286833777</v>
      </c>
      <c r="G58" s="14">
        <f t="shared" si="14"/>
        <v>-2.102567555068835</v>
      </c>
      <c r="H58" s="14">
        <f>((H33/H32)-1)*100</f>
        <v>12.41194570511459</v>
      </c>
    </row>
    <row r="59" spans="1:8" x14ac:dyDescent="0.25">
      <c r="A59" s="12" t="s">
        <v>26</v>
      </c>
      <c r="B59" s="15">
        <f>((B35/B34)-1)*100</f>
        <v>3.189577471295113</v>
      </c>
      <c r="C59" s="15">
        <f>((C35/C34)-1)*100</f>
        <v>3.9944466071804907</v>
      </c>
      <c r="D59" s="15">
        <f t="shared" ref="D59:F59" si="15">((D35/D34)-1)*100</f>
        <v>3.9870788285629288</v>
      </c>
      <c r="E59" s="15">
        <f t="shared" si="15"/>
        <v>4.0129550800531488</v>
      </c>
      <c r="F59" s="15">
        <f t="shared" si="15"/>
        <v>0.28010728898637538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B17/(B11*6)</f>
        <v>89375.684743905775</v>
      </c>
      <c r="C62" s="41">
        <f t="shared" ref="C62:F62" si="16">C17/(C11*6)</f>
        <v>70125.125258275919</v>
      </c>
      <c r="D62" s="41"/>
      <c r="E62" s="41"/>
      <c r="F62" s="41">
        <f t="shared" si="16"/>
        <v>222091.0209102091</v>
      </c>
      <c r="G62" s="5"/>
      <c r="H62" s="5"/>
    </row>
    <row r="63" spans="1:8" x14ac:dyDescent="0.25">
      <c r="A63" s="1" t="s">
        <v>35</v>
      </c>
      <c r="B63" s="41">
        <f>B18/(B12*6)</f>
        <v>85506.897893941728</v>
      </c>
      <c r="C63" s="41">
        <f t="shared" ref="C63:F63" si="17">C18/(C12*6)</f>
        <v>68099.662515229254</v>
      </c>
      <c r="D63" s="41">
        <f t="shared" si="17"/>
        <v>68099.534563527865</v>
      </c>
      <c r="E63" s="41">
        <f t="shared" si="17"/>
        <v>68099.985993734794</v>
      </c>
      <c r="F63" s="41">
        <f t="shared" si="17"/>
        <v>223486.54755370243</v>
      </c>
      <c r="G63" s="5"/>
      <c r="H63" s="5"/>
    </row>
    <row r="64" spans="1:8" x14ac:dyDescent="0.25">
      <c r="A64" s="12" t="s">
        <v>28</v>
      </c>
      <c r="B64" s="15">
        <f>(B62/B63)*B46</f>
        <v>101.62680300688686</v>
      </c>
      <c r="C64" s="15">
        <f>(C62/C63)*C46</f>
        <v>101.08178391956031</v>
      </c>
      <c r="D64" s="15"/>
      <c r="E64" s="15"/>
      <c r="F64" s="15">
        <f t="shared" ref="F64" si="18">(F62/F63)*F46</f>
        <v>92.929122840043377</v>
      </c>
      <c r="G64" s="15"/>
      <c r="H64" s="15"/>
    </row>
    <row r="65" spans="1:8" s="25" customFormat="1" x14ac:dyDescent="0.25">
      <c r="A65" s="16" t="s">
        <v>40</v>
      </c>
      <c r="B65" s="5">
        <f>B17/B11</f>
        <v>536254.10846343462</v>
      </c>
      <c r="C65" s="5">
        <f>C17/C11</f>
        <v>420750.75154965551</v>
      </c>
      <c r="D65" s="5"/>
      <c r="E65" s="5"/>
      <c r="F65" s="5">
        <f t="shared" ref="F65" si="19">F17/F11</f>
        <v>1332546.1254612545</v>
      </c>
      <c r="G65" s="16"/>
      <c r="H65" s="16"/>
    </row>
    <row r="66" spans="1:8" s="25" customFormat="1" x14ac:dyDescent="0.25">
      <c r="A66" s="16" t="s">
        <v>41</v>
      </c>
      <c r="B66" s="5">
        <f>B18/B12</f>
        <v>513041.38736365043</v>
      </c>
      <c r="C66" s="5">
        <f>C18/C12</f>
        <v>408597.97509137553</v>
      </c>
      <c r="D66" s="22">
        <f>D18/D12</f>
        <v>408597.20738116716</v>
      </c>
      <c r="E66" s="5">
        <f t="shared" ref="E66:F66" si="20">E18/E12</f>
        <v>408599.9159624087</v>
      </c>
      <c r="F66" s="5">
        <f t="shared" si="20"/>
        <v>1340919.2853222147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113.0311186084195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84.115609325092962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127</v>
      </c>
    </row>
    <row r="75" spans="1:8" x14ac:dyDescent="0.25">
      <c r="A75" s="1" t="s">
        <v>90</v>
      </c>
      <c r="B75" s="20"/>
      <c r="C75" s="20"/>
      <c r="D75" s="20"/>
      <c r="E75" s="20"/>
      <c r="F75" s="20"/>
    </row>
    <row r="76" spans="1:8" x14ac:dyDescent="0.25">
      <c r="A76" s="1" t="s">
        <v>128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78</v>
      </c>
    </row>
    <row r="82" spans="1:1" x14ac:dyDescent="0.25">
      <c r="A82" s="34" t="s">
        <v>79</v>
      </c>
    </row>
    <row r="83" spans="1:1" x14ac:dyDescent="0.25">
      <c r="A83" s="34" t="s">
        <v>80</v>
      </c>
    </row>
    <row r="85" spans="1:1" x14ac:dyDescent="0.25">
      <c r="A85" s="1" t="s">
        <v>131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5"/>
  <sheetViews>
    <sheetView zoomScale="90" zoomScaleNormal="90" workbookViewId="0">
      <selection activeCell="E67" sqref="E67"/>
    </sheetView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7" t="s">
        <v>119</v>
      </c>
      <c r="B2" s="47"/>
      <c r="C2" s="47"/>
      <c r="D2" s="47"/>
      <c r="E2" s="47"/>
      <c r="F2" s="47"/>
      <c r="G2" s="47"/>
      <c r="H2" s="47"/>
    </row>
    <row r="4" spans="1:8" x14ac:dyDescent="0.25">
      <c r="A4" s="45" t="s">
        <v>0</v>
      </c>
      <c r="B4" s="45" t="s">
        <v>38</v>
      </c>
      <c r="C4" s="36"/>
      <c r="D4" s="36"/>
      <c r="E4" s="37" t="s">
        <v>1</v>
      </c>
      <c r="F4" s="29"/>
      <c r="G4" s="45" t="s">
        <v>2</v>
      </c>
      <c r="H4" s="45" t="s">
        <v>3</v>
      </c>
    </row>
    <row r="5" spans="1:8" ht="15.75" thickBot="1" x14ac:dyDescent="0.3">
      <c r="A5" s="46"/>
      <c r="B5" s="46"/>
      <c r="C5" s="48" t="s">
        <v>39</v>
      </c>
      <c r="D5" s="48"/>
      <c r="E5" s="48"/>
      <c r="F5" s="35" t="s">
        <v>81</v>
      </c>
      <c r="G5" s="46"/>
      <c r="H5" s="46"/>
    </row>
    <row r="6" spans="1:8" ht="15.75" thickTop="1" x14ac:dyDescent="0.25">
      <c r="C6" s="38" t="s">
        <v>129</v>
      </c>
      <c r="D6" s="28" t="s">
        <v>75</v>
      </c>
      <c r="E6" s="28" t="s">
        <v>76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59</v>
      </c>
      <c r="B10" s="22">
        <f>+C10+F10</f>
        <v>93960.333333333328</v>
      </c>
      <c r="C10" s="22">
        <f>SUM(D10:E10)</f>
        <v>91053.888888888891</v>
      </c>
      <c r="D10" s="22">
        <f>(+'I Trimestre'!D10+'II Trimestre'!D10+'III Trimestre'!D10)/3</f>
        <v>65133.222222222226</v>
      </c>
      <c r="E10" s="5">
        <f>(+'I Trimestre'!E10+'II Trimestre'!E10+'III Trimestre'!E10)/3</f>
        <v>25920.666666666668</v>
      </c>
      <c r="F10" s="5">
        <f>(+'I Trimestre'!F10+'II Trimestre'!F10+'III Trimestre'!F10)/3</f>
        <v>2906.4444444444439</v>
      </c>
      <c r="G10" s="5"/>
      <c r="H10" s="5"/>
    </row>
    <row r="11" spans="1:8" x14ac:dyDescent="0.25">
      <c r="A11" s="4" t="s">
        <v>99</v>
      </c>
      <c r="B11" s="22">
        <f t="shared" ref="B11:B13" si="0">+C11+F11</f>
        <v>97672</v>
      </c>
      <c r="C11" s="22">
        <f>(+'I Trimestre'!C11+'II Trimestre'!C11+'III Trimestre'!C11)/3</f>
        <v>94250</v>
      </c>
      <c r="D11" s="22"/>
      <c r="E11" s="5">
        <f>(+'I Trimestre'!E11+'II Trimestre'!E11+'III Trimestre'!E11)/3</f>
        <v>0</v>
      </c>
      <c r="F11" s="5">
        <f>(+'I Trimestre'!F11+'II Trimestre'!F11+'III Trimestre'!F11)/3</f>
        <v>3422</v>
      </c>
      <c r="G11" s="5"/>
      <c r="H11" s="5"/>
    </row>
    <row r="12" spans="1:8" x14ac:dyDescent="0.25">
      <c r="A12" s="4" t="s">
        <v>100</v>
      </c>
      <c r="B12" s="22">
        <f t="shared" si="0"/>
        <v>97222</v>
      </c>
      <c r="C12" s="22">
        <f t="shared" ref="C12:C20" si="1">SUM(D12:E12)</f>
        <v>94048.111111111109</v>
      </c>
      <c r="D12" s="22">
        <f>(+'I Trimestre'!D12+'II Trimestre'!D12+'III Trimestre'!D12)/3</f>
        <v>67433.333333333328</v>
      </c>
      <c r="E12" s="5">
        <f>(+'I Trimestre'!E12+'II Trimestre'!E12+'III Trimestre'!E12)/3</f>
        <v>26614.777777777781</v>
      </c>
      <c r="F12" s="5">
        <f>(+'I Trimestre'!F12+'II Trimestre'!F12+'III Trimestre'!F12)/3</f>
        <v>3173.8888888888887</v>
      </c>
      <c r="G12" s="5"/>
      <c r="H12" s="5"/>
    </row>
    <row r="13" spans="1:8" x14ac:dyDescent="0.25">
      <c r="A13" s="4" t="s">
        <v>85</v>
      </c>
      <c r="B13" s="22">
        <f t="shared" si="0"/>
        <v>97985</v>
      </c>
      <c r="C13" s="22">
        <f>'III Trimestre'!C13</f>
        <v>94528</v>
      </c>
      <c r="D13" s="22"/>
      <c r="E13" s="22">
        <f>'III Trimestre'!E13</f>
        <v>0</v>
      </c>
      <c r="F13" s="22">
        <f>'III Trimestre'!F13</f>
        <v>3457</v>
      </c>
      <c r="G13" s="22"/>
      <c r="H13" s="22"/>
    </row>
    <row r="14" spans="1:8" x14ac:dyDescent="0.25">
      <c r="C14" s="22"/>
    </row>
    <row r="15" spans="1:8" x14ac:dyDescent="0.25">
      <c r="A15" s="6" t="s">
        <v>5</v>
      </c>
      <c r="C15" s="22"/>
    </row>
    <row r="16" spans="1:8" x14ac:dyDescent="0.25">
      <c r="A16" s="4" t="s">
        <v>59</v>
      </c>
      <c r="B16" s="5">
        <f>+C16+F16+G16+H16</f>
        <v>68480496680.860001</v>
      </c>
      <c r="C16" s="22">
        <f t="shared" si="1"/>
        <v>52519822899.199997</v>
      </c>
      <c r="D16" s="5">
        <f>+'I Trimestre'!D16+'II Trimestre'!D16+'III Trimestre'!D16</f>
        <v>37571700005.281509</v>
      </c>
      <c r="E16" s="22">
        <f>+'I Trimestre'!E16+'II Trimestre'!E16+'III Trimestre'!E16</f>
        <v>14948122893.918489</v>
      </c>
      <c r="F16" s="22">
        <f>+'I Trimestre'!F16+'II Trimestre'!F16+'III Trimestre'!F16</f>
        <v>5549982176.8999996</v>
      </c>
      <c r="G16" s="22">
        <f>+'I Trimestre'!G16+'II Trimestre'!G16+'III Trimestre'!G16</f>
        <v>7835941604.7199993</v>
      </c>
      <c r="H16" s="22">
        <f>+'I Trimestre'!H16+'II Trimestre'!H16+'III Trimestre'!H16</f>
        <v>2574750000.04</v>
      </c>
    </row>
    <row r="17" spans="1:8" x14ac:dyDescent="0.25">
      <c r="A17" s="4" t="s">
        <v>99</v>
      </c>
      <c r="B17" s="5">
        <f t="shared" ref="B17:B19" si="2">+C17+F17+G17+H17</f>
        <v>78628350000</v>
      </c>
      <c r="C17" s="5">
        <f>+'I Trimestre'!C17+'II Trimestre'!C17+'III Trimestre'!C17</f>
        <v>59483600000</v>
      </c>
      <c r="D17" s="5"/>
      <c r="E17" s="22"/>
      <c r="F17" s="22">
        <f>+'I Trimestre'!F17+'II Trimestre'!F17+'III Trimestre'!F17</f>
        <v>6909700000</v>
      </c>
      <c r="G17" s="22">
        <f>+'I Trimestre'!G17+'II Trimestre'!G17+'III Trimestre'!G17</f>
        <v>9167550000</v>
      </c>
      <c r="H17" s="22">
        <f>+'I Trimestre'!H17+'II Trimestre'!H17+'III Trimestre'!H17</f>
        <v>3067500000</v>
      </c>
    </row>
    <row r="18" spans="1:8" x14ac:dyDescent="0.25">
      <c r="A18" s="4" t="s">
        <v>100</v>
      </c>
      <c r="B18" s="5">
        <f t="shared" si="2"/>
        <v>82715216618.599991</v>
      </c>
      <c r="C18" s="22">
        <f t="shared" si="1"/>
        <v>65039941694.650002</v>
      </c>
      <c r="D18" s="5">
        <f>+'I Trimestre'!D18+'II Trimestre'!D18+'III Trimestre'!D18</f>
        <v>46648303934.644798</v>
      </c>
      <c r="E18" s="22">
        <f>+'I Trimestre'!E18+'II Trimestre'!E18+'III Trimestre'!E18</f>
        <v>18391637760.005203</v>
      </c>
      <c r="F18" s="22">
        <f>+'I Trimestre'!F18+'II Trimestre'!F18+'III Trimestre'!F18</f>
        <v>6307188683.5</v>
      </c>
      <c r="G18" s="22">
        <f>+'I Trimestre'!G18+'II Trimestre'!G18+'III Trimestre'!G18</f>
        <v>8300586240.3899994</v>
      </c>
      <c r="H18" s="22">
        <f>+'I Trimestre'!H18+'II Trimestre'!H18+'III Trimestre'!H18</f>
        <v>3067500000.0599999</v>
      </c>
    </row>
    <row r="19" spans="1:8" x14ac:dyDescent="0.25">
      <c r="A19" s="4" t="s">
        <v>85</v>
      </c>
      <c r="B19" s="5">
        <f t="shared" si="2"/>
        <v>112658908378.0759</v>
      </c>
      <c r="C19" s="22">
        <f>+'III Trimestre'!C19</f>
        <v>86209232075.817673</v>
      </c>
      <c r="D19" s="22"/>
      <c r="E19" s="22"/>
      <c r="F19" s="22">
        <f>+'III Trimestre'!F19</f>
        <v>10136276302.258219</v>
      </c>
      <c r="G19" s="22">
        <f>+'III Trimestre'!G19</f>
        <v>12223400000</v>
      </c>
      <c r="H19" s="22">
        <f>+'III Trimestre'!H19</f>
        <v>4090000000</v>
      </c>
    </row>
    <row r="20" spans="1:8" x14ac:dyDescent="0.25">
      <c r="A20" s="4" t="s">
        <v>101</v>
      </c>
      <c r="B20" s="41">
        <f>+C20+F20+G20</f>
        <v>79647716618.539993</v>
      </c>
      <c r="C20" s="22">
        <f t="shared" si="1"/>
        <v>65039941694.650002</v>
      </c>
      <c r="D20" s="5">
        <f>+D18</f>
        <v>46648303934.644798</v>
      </c>
      <c r="E20" s="22">
        <f>+E18</f>
        <v>18391637760.005203</v>
      </c>
      <c r="F20" s="22">
        <f t="shared" ref="F20:G20" si="3">+F18</f>
        <v>6307188683.5</v>
      </c>
      <c r="G20" s="22">
        <f t="shared" si="3"/>
        <v>8300586240.3899994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99</v>
      </c>
      <c r="B23" s="8">
        <f>B17</f>
        <v>78628350000</v>
      </c>
      <c r="C23" s="8"/>
      <c r="D23" s="8"/>
      <c r="E23" s="8"/>
      <c r="F23" s="8"/>
      <c r="G23" s="8"/>
      <c r="H23" s="8"/>
    </row>
    <row r="24" spans="1:8" x14ac:dyDescent="0.25">
      <c r="A24" s="9" t="s">
        <v>100</v>
      </c>
      <c r="B24" s="8">
        <f>+'I Trimestre'!B24+'II Trimestre'!B24+'III Trimestre'!B24</f>
        <v>98000391866.839996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60</v>
      </c>
      <c r="B27" s="23">
        <v>1.523505238688889</v>
      </c>
      <c r="C27" s="23">
        <v>1.523505238688889</v>
      </c>
      <c r="D27" s="23">
        <v>1.523505238688889</v>
      </c>
      <c r="E27" s="23">
        <v>1.523505238688889</v>
      </c>
      <c r="F27" s="23">
        <v>1.523505238688889</v>
      </c>
      <c r="G27" s="23">
        <v>1.523505238688889</v>
      </c>
      <c r="H27" s="23">
        <v>1.523505238688889</v>
      </c>
    </row>
    <row r="28" spans="1:8" x14ac:dyDescent="0.25">
      <c r="A28" s="10" t="s">
        <v>102</v>
      </c>
      <c r="B28" s="23">
        <v>1.6128472990111107</v>
      </c>
      <c r="C28" s="23">
        <v>1.6128472990111107</v>
      </c>
      <c r="D28" s="23">
        <v>1.6128472990111107</v>
      </c>
      <c r="E28" s="23">
        <v>1.6128472990111107</v>
      </c>
      <c r="F28" s="23">
        <v>1.6128472990111107</v>
      </c>
      <c r="G28" s="23">
        <v>1.6128472990111107</v>
      </c>
      <c r="H28" s="23">
        <v>1.6128472990111107</v>
      </c>
    </row>
    <row r="29" spans="1:8" x14ac:dyDescent="0.25">
      <c r="A29" s="4" t="s">
        <v>8</v>
      </c>
      <c r="B29" s="24">
        <f>+D29+F29</f>
        <v>89249</v>
      </c>
      <c r="C29" s="39"/>
      <c r="D29" s="24">
        <v>83010</v>
      </c>
      <c r="E29" s="24" t="s">
        <v>77</v>
      </c>
      <c r="F29" s="24">
        <v>6239</v>
      </c>
      <c r="G29" s="24"/>
      <c r="H29" s="24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61</v>
      </c>
      <c r="B32" s="13">
        <f>B16/B27</f>
        <v>44949301742.994675</v>
      </c>
      <c r="C32" s="13">
        <f>C16/C27</f>
        <v>34473017594.870857</v>
      </c>
      <c r="D32" s="13">
        <f>D16/D27</f>
        <v>24661352682.722168</v>
      </c>
      <c r="E32" s="13">
        <f t="shared" ref="E32:H32" si="4">E16/E27</f>
        <v>9811664912.1486912</v>
      </c>
      <c r="F32" s="13">
        <f t="shared" si="4"/>
        <v>3642903244.4130287</v>
      </c>
      <c r="G32" s="13">
        <f t="shared" si="4"/>
        <v>5143363741.5408697</v>
      </c>
      <c r="H32" s="13">
        <f t="shared" si="4"/>
        <v>1690017162.1699181</v>
      </c>
    </row>
    <row r="33" spans="1:8" x14ac:dyDescent="0.25">
      <c r="A33" s="12" t="s">
        <v>103</v>
      </c>
      <c r="B33" s="13">
        <f>B18/B28</f>
        <v>51285212598.43718</v>
      </c>
      <c r="C33" s="13">
        <f>C18/C28</f>
        <v>40326162144.753639</v>
      </c>
      <c r="D33" s="13">
        <f>D18/D28</f>
        <v>28922951331.627239</v>
      </c>
      <c r="E33" s="13">
        <f t="shared" ref="E33:H33" si="5">E18/E28</f>
        <v>11403210813.126398</v>
      </c>
      <c r="F33" s="13">
        <f t="shared" si="5"/>
        <v>3910592582.0548191</v>
      </c>
      <c r="G33" s="13">
        <f t="shared" si="5"/>
        <v>5146541923.3918543</v>
      </c>
      <c r="H33" s="13">
        <f t="shared" si="5"/>
        <v>1901915948.2368755</v>
      </c>
    </row>
    <row r="34" spans="1:8" x14ac:dyDescent="0.25">
      <c r="A34" s="12" t="s">
        <v>62</v>
      </c>
      <c r="B34" s="13">
        <f>B32/B10</f>
        <v>478385.93317387137</v>
      </c>
      <c r="C34" s="13">
        <f>C32/C10</f>
        <v>378600.16760994738</v>
      </c>
      <c r="D34" s="13">
        <f>D32/D10</f>
        <v>378629.39743073512</v>
      </c>
      <c r="E34" s="13">
        <f t="shared" ref="E34:F34" si="6">E32/E10</f>
        <v>378526.71917448204</v>
      </c>
      <c r="F34" s="13">
        <f t="shared" si="6"/>
        <v>1253388.2253886866</v>
      </c>
      <c r="G34" s="13"/>
      <c r="H34" s="13"/>
    </row>
    <row r="35" spans="1:8" x14ac:dyDescent="0.25">
      <c r="A35" s="12" t="s">
        <v>104</v>
      </c>
      <c r="B35" s="13">
        <f>B33/B12</f>
        <v>527506.2495982101</v>
      </c>
      <c r="C35" s="13">
        <f>C33/C12</f>
        <v>428782.26546316454</v>
      </c>
      <c r="D35" s="13">
        <f>D33/D12</f>
        <v>428911.78445319686</v>
      </c>
      <c r="E35" s="13">
        <f t="shared" ref="E35:F35" si="7">E33/E12</f>
        <v>428454.10577305662</v>
      </c>
      <c r="F35" s="13">
        <f t="shared" si="7"/>
        <v>1232113.8889722868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107.43232848781534</v>
      </c>
      <c r="C40" s="14"/>
      <c r="D40" s="14">
        <f>(C11)/D29*100</f>
        <v>113.5405372846645</v>
      </c>
      <c r="E40" s="14"/>
      <c r="F40" s="14">
        <f>(F11)/F29*100</f>
        <v>54.848533418817112</v>
      </c>
      <c r="G40" s="14"/>
    </row>
    <row r="41" spans="1:8" x14ac:dyDescent="0.25">
      <c r="A41" s="1" t="s">
        <v>13</v>
      </c>
      <c r="B41" s="14">
        <f>((D41*C18+F41*F18)/(C18+F18))</f>
        <v>78.551021240864841</v>
      </c>
      <c r="C41" s="40"/>
      <c r="D41" s="14">
        <f>(D12)/D29*100</f>
        <v>81.235192547082676</v>
      </c>
      <c r="E41" s="14"/>
      <c r="F41" s="14">
        <f t="shared" ref="F41" si="8">(F12)/F29*100</f>
        <v>50.871756513686307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99.539274305839953</v>
      </c>
      <c r="C44" s="14">
        <f>C12/C11*100</f>
        <v>99.785794282346004</v>
      </c>
      <c r="D44" s="14"/>
      <c r="E44" s="14"/>
      <c r="F44" s="14">
        <f>F12/F11*100</f>
        <v>92.749529190207141</v>
      </c>
      <c r="G44" s="14"/>
    </row>
    <row r="45" spans="1:8" x14ac:dyDescent="0.25">
      <c r="A45" s="1" t="s">
        <v>16</v>
      </c>
      <c r="B45" s="14">
        <f>B18/B17*100</f>
        <v>105.1977011072978</v>
      </c>
      <c r="C45" s="14">
        <f>C18/C17*100</f>
        <v>109.34096405505048</v>
      </c>
      <c r="D45" s="14"/>
      <c r="E45" s="14"/>
      <c r="F45" s="14">
        <f>F18/F17*100</f>
        <v>91.280210190022729</v>
      </c>
      <c r="G45" s="14">
        <f>G18/G17*100</f>
        <v>90.543124830407237</v>
      </c>
      <c r="H45" s="14">
        <f>H18/H17*100</f>
        <v>100.000000001956</v>
      </c>
    </row>
    <row r="46" spans="1:8" x14ac:dyDescent="0.25">
      <c r="A46" s="12" t="s">
        <v>17</v>
      </c>
      <c r="B46" s="15">
        <f>AVERAGE(B44:B45)</f>
        <v>102.36848770656889</v>
      </c>
      <c r="C46" s="15">
        <f>AVERAGE(C44:C45)</f>
        <v>104.56337916869825</v>
      </c>
      <c r="D46" s="15"/>
      <c r="E46" s="15"/>
      <c r="F46" s="15">
        <f t="shared" ref="F46:H46" si="9">AVERAGE(F44:F45)</f>
        <v>92.014869690114935</v>
      </c>
      <c r="G46" s="15">
        <f>AVERAGE(G44:G45)</f>
        <v>90.543124830407237</v>
      </c>
      <c r="H46" s="15">
        <f t="shared" si="9"/>
        <v>100.000000001956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B12/(B13)*100</f>
        <v>99.221309384089409</v>
      </c>
      <c r="C49" s="16">
        <f>C12/(C13)*100</f>
        <v>99.492331490258024</v>
      </c>
      <c r="D49" s="16"/>
      <c r="E49" s="16"/>
      <c r="F49" s="16">
        <f>F12/(F13)*100</f>
        <v>91.810497219811651</v>
      </c>
      <c r="G49" s="16"/>
      <c r="H49" s="16"/>
    </row>
    <row r="50" spans="1:8" x14ac:dyDescent="0.25">
      <c r="A50" s="1" t="s">
        <v>20</v>
      </c>
      <c r="B50" s="14">
        <f>B18/B19*100</f>
        <v>73.42092854389567</v>
      </c>
      <c r="C50" s="14">
        <f>C18/C19*100</f>
        <v>75.444288423135347</v>
      </c>
      <c r="D50" s="14"/>
      <c r="E50" s="14"/>
      <c r="F50" s="14">
        <f>F18/F19*100</f>
        <v>62.223922231627093</v>
      </c>
      <c r="G50" s="14">
        <f>G18/G19*100</f>
        <v>67.907343622805442</v>
      </c>
      <c r="H50" s="14">
        <f>H18/H19*100</f>
        <v>75.000000001466987</v>
      </c>
    </row>
    <row r="51" spans="1:8" x14ac:dyDescent="0.25">
      <c r="A51" s="1" t="s">
        <v>21</v>
      </c>
      <c r="B51" s="14">
        <f>(B49+B50)/2</f>
        <v>86.321118963992546</v>
      </c>
      <c r="C51" s="14">
        <f t="shared" ref="C51" si="10">(C49+C50)/2</f>
        <v>87.468309956696686</v>
      </c>
      <c r="D51" s="14"/>
      <c r="E51" s="14"/>
      <c r="F51" s="14">
        <f t="shared" ref="F51" si="11">(F49+F50)/2</f>
        <v>77.017209725719368</v>
      </c>
      <c r="G51" s="14">
        <f>AVERAGE(G49:G50)</f>
        <v>67.907343622805442</v>
      </c>
      <c r="H51" s="14">
        <f t="shared" ref="H51" si="12">AVERAGE(H49:H50)</f>
        <v>75.000000001466987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96.29149251436499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3.4713230050978927</v>
      </c>
      <c r="C57" s="14">
        <f>((C12/C10)-1)*100</f>
        <v>3.2884067432594755</v>
      </c>
      <c r="D57" s="14">
        <f t="shared" ref="D57:F57" si="13">((D12/D10)-1)*100</f>
        <v>3.5313946287864661</v>
      </c>
      <c r="E57" s="14">
        <f t="shared" si="13"/>
        <v>2.6778289310117165</v>
      </c>
      <c r="F57" s="14">
        <f t="shared" si="13"/>
        <v>9.2017738359202017</v>
      </c>
      <c r="G57" s="14"/>
      <c r="H57" s="14"/>
    </row>
    <row r="58" spans="1:8" x14ac:dyDescent="0.25">
      <c r="A58" s="1" t="s">
        <v>25</v>
      </c>
      <c r="B58" s="14">
        <f>((B33/B32)-1)*100</f>
        <v>14.095682490618344</v>
      </c>
      <c r="C58" s="14">
        <f>((C33/C32)-1)*100</f>
        <v>16.978915564251771</v>
      </c>
      <c r="D58" s="14">
        <f t="shared" ref="D58:G58" si="14">((D33/D32)-1)*100</f>
        <v>17.280474042653648</v>
      </c>
      <c r="E58" s="14">
        <f t="shared" si="14"/>
        <v>16.220956537224108</v>
      </c>
      <c r="F58" s="14">
        <f t="shared" si="14"/>
        <v>7.3482417643766507</v>
      </c>
      <c r="G58" s="14">
        <f t="shared" si="14"/>
        <v>6.1791893606821802E-2</v>
      </c>
      <c r="H58" s="14">
        <f>((H33/H32)-1)*100</f>
        <v>12.53826238041793</v>
      </c>
    </row>
    <row r="59" spans="1:8" x14ac:dyDescent="0.25">
      <c r="A59" s="12" t="s">
        <v>26</v>
      </c>
      <c r="B59" s="15">
        <f>((B35/B34)-1)*100</f>
        <v>10.267926587733879</v>
      </c>
      <c r="C59" s="15">
        <f>((C35/C34)-1)*100</f>
        <v>13.254642270765515</v>
      </c>
      <c r="D59" s="15">
        <f t="shared" ref="D59:F59" si="15">((D35/D34)-1)*100</f>
        <v>13.280106448063167</v>
      </c>
      <c r="E59" s="15">
        <f t="shared" si="15"/>
        <v>13.189924005222075</v>
      </c>
      <c r="F59" s="15">
        <f t="shared" si="15"/>
        <v>-1.6973461203373286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41">
        <f>B17/(B11*9)</f>
        <v>89447.163294837141</v>
      </c>
      <c r="C62" s="41">
        <f t="shared" ref="C62:F62" si="16">C17/(C11*9)</f>
        <v>70125.081049218978</v>
      </c>
      <c r="D62" s="41"/>
      <c r="E62" s="41"/>
      <c r="F62" s="41">
        <f t="shared" si="16"/>
        <v>224355.47762841743</v>
      </c>
      <c r="G62" s="5"/>
      <c r="H62" s="5"/>
    </row>
    <row r="63" spans="1:8" x14ac:dyDescent="0.25">
      <c r="A63" s="1" t="s">
        <v>35</v>
      </c>
      <c r="B63" s="41">
        <f>B18/(B12*9)</f>
        <v>94531.892208439327</v>
      </c>
      <c r="C63" s="41">
        <f t="shared" ref="C63:F63" si="17">C18/(C12*9)</f>
        <v>76840.035412903322</v>
      </c>
      <c r="D63" s="41">
        <f t="shared" si="17"/>
        <v>76863.245896597131</v>
      </c>
      <c r="E63" s="41">
        <f t="shared" si="17"/>
        <v>76781.227471810562</v>
      </c>
      <c r="F63" s="41">
        <f t="shared" si="17"/>
        <v>220801.28421144758</v>
      </c>
      <c r="G63" s="5"/>
      <c r="H63" s="5"/>
    </row>
    <row r="64" spans="1:8" x14ac:dyDescent="0.25">
      <c r="A64" s="12" t="s">
        <v>28</v>
      </c>
      <c r="B64" s="15">
        <f>(B62/B63)*B46</f>
        <v>96.862240056986224</v>
      </c>
      <c r="C64" s="15">
        <f>(C62/C63)*C46</f>
        <v>95.425716549759301</v>
      </c>
      <c r="D64" s="15"/>
      <c r="E64" s="15"/>
      <c r="F64" s="15">
        <f t="shared" ref="F64" si="18">(F62/F63)*F46</f>
        <v>93.496014355028933</v>
      </c>
      <c r="G64" s="15"/>
      <c r="H64" s="15"/>
    </row>
    <row r="65" spans="1:8" x14ac:dyDescent="0.25">
      <c r="A65" s="16" t="s">
        <v>42</v>
      </c>
      <c r="B65" s="5">
        <f>B17/B11</f>
        <v>805024.46965353424</v>
      </c>
      <c r="C65" s="5">
        <f>C17/C11</f>
        <v>631125.72944297083</v>
      </c>
      <c r="D65" s="5"/>
      <c r="E65" s="5"/>
      <c r="F65" s="5">
        <f t="shared" ref="F65" si="19">F17/F11</f>
        <v>2019199.298655757</v>
      </c>
      <c r="G65" s="16"/>
      <c r="H65" s="16"/>
    </row>
    <row r="66" spans="1:8" x14ac:dyDescent="0.25">
      <c r="A66" s="16" t="s">
        <v>43</v>
      </c>
      <c r="B66" s="5">
        <f>B18/B12</f>
        <v>850787.02987595391</v>
      </c>
      <c r="C66" s="5">
        <f>C18/C12</f>
        <v>691560.31871612999</v>
      </c>
      <c r="D66" s="22">
        <f>D18/D12</f>
        <v>691769.21306937421</v>
      </c>
      <c r="E66" s="5">
        <f t="shared" ref="E66:F66" si="20">E18/E12</f>
        <v>691031.04724629514</v>
      </c>
      <c r="F66" s="5">
        <f t="shared" si="20"/>
        <v>1987211.5579030283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124.63747727993784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84.402944766783122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127</v>
      </c>
    </row>
    <row r="75" spans="1:8" x14ac:dyDescent="0.25">
      <c r="A75" s="1" t="s">
        <v>90</v>
      </c>
      <c r="B75" s="20"/>
      <c r="C75" s="20"/>
      <c r="D75" s="20"/>
      <c r="E75" s="20"/>
      <c r="F75" s="20"/>
    </row>
    <row r="76" spans="1:8" x14ac:dyDescent="0.25">
      <c r="A76" s="1" t="s">
        <v>128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78</v>
      </c>
    </row>
    <row r="82" spans="1:1" x14ac:dyDescent="0.25">
      <c r="A82" s="34" t="s">
        <v>79</v>
      </c>
    </row>
    <row r="83" spans="1:1" x14ac:dyDescent="0.25">
      <c r="A83" s="34" t="s">
        <v>80</v>
      </c>
    </row>
    <row r="85" spans="1:1" x14ac:dyDescent="0.25">
      <c r="A85" s="1" t="s">
        <v>131</v>
      </c>
    </row>
  </sheetData>
  <mergeCells count="6">
    <mergeCell ref="A2:H2"/>
    <mergeCell ref="A4:A5"/>
    <mergeCell ref="B4:B5"/>
    <mergeCell ref="G4:G5"/>
    <mergeCell ref="H4:H5"/>
    <mergeCell ref="C5:E5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85"/>
  <sheetViews>
    <sheetView tabSelected="1" zoomScale="90" zoomScaleNormal="90" workbookViewId="0"/>
  </sheetViews>
  <sheetFormatPr baseColWidth="10" defaultColWidth="11.42578125" defaultRowHeight="15" x14ac:dyDescent="0.25"/>
  <cols>
    <col min="1" max="1" width="55.140625" style="1" customWidth="1"/>
    <col min="2" max="4" width="16.140625" style="1" customWidth="1"/>
    <col min="5" max="5" width="17" style="1" bestFit="1" customWidth="1"/>
    <col min="6" max="6" width="16.42578125" style="1" bestFit="1" customWidth="1"/>
    <col min="7" max="7" width="14.7109375" style="1" bestFit="1" customWidth="1"/>
    <col min="8" max="8" width="17.5703125" style="1" bestFit="1" customWidth="1"/>
    <col min="9" max="16384" width="11.42578125" style="1"/>
  </cols>
  <sheetData>
    <row r="2" spans="1:8" ht="15.75" x14ac:dyDescent="0.25">
      <c r="A2" s="47" t="s">
        <v>120</v>
      </c>
      <c r="B2" s="47"/>
      <c r="C2" s="47"/>
      <c r="D2" s="47"/>
      <c r="E2" s="47"/>
      <c r="F2" s="47"/>
      <c r="G2" s="47"/>
      <c r="H2" s="47"/>
    </row>
    <row r="4" spans="1:8" x14ac:dyDescent="0.25">
      <c r="A4" s="45" t="s">
        <v>0</v>
      </c>
      <c r="B4" s="45" t="s">
        <v>38</v>
      </c>
      <c r="C4" s="36"/>
      <c r="D4" s="36"/>
      <c r="E4" s="37" t="s">
        <v>1</v>
      </c>
      <c r="F4" s="29"/>
      <c r="G4" s="45" t="s">
        <v>2</v>
      </c>
      <c r="H4" s="45" t="s">
        <v>3</v>
      </c>
    </row>
    <row r="5" spans="1:8" ht="15.75" thickBot="1" x14ac:dyDescent="0.3">
      <c r="A5" s="46"/>
      <c r="B5" s="46"/>
      <c r="C5" s="43" t="s">
        <v>39</v>
      </c>
      <c r="D5" s="43"/>
      <c r="E5" s="43"/>
      <c r="F5" s="35" t="s">
        <v>81</v>
      </c>
      <c r="G5" s="46"/>
      <c r="H5" s="46"/>
    </row>
    <row r="6" spans="1:8" ht="15.75" thickTop="1" x14ac:dyDescent="0.25">
      <c r="C6" s="38" t="s">
        <v>129</v>
      </c>
      <c r="D6" s="28" t="s">
        <v>75</v>
      </c>
      <c r="E6" s="28" t="s">
        <v>76</v>
      </c>
    </row>
    <row r="7" spans="1:8" x14ac:dyDescent="0.25">
      <c r="A7" s="3" t="s">
        <v>4</v>
      </c>
    </row>
    <row r="9" spans="1:8" x14ac:dyDescent="0.25">
      <c r="A9" s="1" t="s">
        <v>46</v>
      </c>
    </row>
    <row r="10" spans="1:8" x14ac:dyDescent="0.25">
      <c r="A10" s="4" t="s">
        <v>71</v>
      </c>
      <c r="B10" s="22">
        <f>+C10+F10</f>
        <v>94442.250000000015</v>
      </c>
      <c r="C10" s="22">
        <f>SUM(D10:E10)</f>
        <v>91489.083333333343</v>
      </c>
      <c r="D10" s="22">
        <f>(+'I Trimestre'!D10+'II Trimestre'!D10+'III Trimestre'!D10+'IV Trimestre'!D10)/4</f>
        <v>65626.083333333343</v>
      </c>
      <c r="E10" s="5">
        <f>(+'I Trimestre'!E10+'II Trimestre'!E10+'III Trimestre'!E10+'IV Trimestre'!E10)/4</f>
        <v>25863</v>
      </c>
      <c r="F10" s="5">
        <f>(+'I Trimestre'!F10+'II Trimestre'!F10+'III Trimestre'!F10+'IV Trimestre'!F10)/4</f>
        <v>2953.1666666666665</v>
      </c>
      <c r="G10" s="5"/>
      <c r="H10" s="5"/>
    </row>
    <row r="11" spans="1:8" x14ac:dyDescent="0.25">
      <c r="A11" s="4" t="s">
        <v>121</v>
      </c>
      <c r="B11" s="22">
        <f>+C11+F11</f>
        <v>97984</v>
      </c>
      <c r="C11" s="5">
        <f>(+'I Trimestre'!C11+'II Trimestre'!C11+'III Trimestre'!C11+'IV Trimestre'!C11)/4</f>
        <v>94527.5</v>
      </c>
      <c r="D11" s="5"/>
      <c r="E11" s="5"/>
      <c r="F11" s="5">
        <f>(+'I Trimestre'!F11+'II Trimestre'!F11+'III Trimestre'!F11+'IV Trimestre'!F11)/4</f>
        <v>3456.5</v>
      </c>
      <c r="G11" s="5"/>
      <c r="H11" s="5"/>
    </row>
    <row r="12" spans="1:8" x14ac:dyDescent="0.25">
      <c r="A12" s="4" t="s">
        <v>122</v>
      </c>
      <c r="B12" s="22">
        <f t="shared" ref="B12" si="0">+C12+F12</f>
        <v>97838.333333333343</v>
      </c>
      <c r="C12" s="22">
        <f t="shared" ref="C12:C20" si="1">SUM(D12:E12)</f>
        <v>94642.666666666672</v>
      </c>
      <c r="D12" s="22">
        <f>(+'I Trimestre'!D12+'II Trimestre'!D12+'III Trimestre'!D12+'IV Trimestre'!D12)/4</f>
        <v>67934.916666666672</v>
      </c>
      <c r="E12" s="5">
        <f>(+'I Trimestre'!E12+'II Trimestre'!E12+'III Trimestre'!E12+'IV Trimestre'!E12)/4</f>
        <v>26707.750000000004</v>
      </c>
      <c r="F12" s="5">
        <f>(+'I Trimestre'!F12+'II Trimestre'!F12+'III Trimestre'!F12+'IV Trimestre'!F12)/4</f>
        <v>3195.6666666666665</v>
      </c>
      <c r="G12" s="5"/>
      <c r="H12" s="5"/>
    </row>
    <row r="13" spans="1:8" x14ac:dyDescent="0.25">
      <c r="A13" s="4" t="s">
        <v>85</v>
      </c>
      <c r="B13" s="22">
        <f>+C13+F13</f>
        <v>97985</v>
      </c>
      <c r="C13" s="22">
        <f>'IV Trimestre'!C13</f>
        <v>94528</v>
      </c>
      <c r="D13" s="22"/>
      <c r="E13" s="22"/>
      <c r="F13" s="22">
        <f>'IV Trimestre'!F13</f>
        <v>3457</v>
      </c>
      <c r="G13" s="5"/>
    </row>
    <row r="14" spans="1:8" x14ac:dyDescent="0.25">
      <c r="C14" s="22"/>
    </row>
    <row r="15" spans="1:8" x14ac:dyDescent="0.25">
      <c r="A15" s="6" t="s">
        <v>130</v>
      </c>
      <c r="C15" s="22"/>
    </row>
    <row r="16" spans="1:8" x14ac:dyDescent="0.25">
      <c r="A16" s="4" t="s">
        <v>71</v>
      </c>
      <c r="B16" s="5">
        <f>+C16+F16+G16+H16</f>
        <v>104879077041.37001</v>
      </c>
      <c r="C16" s="22">
        <f t="shared" si="1"/>
        <v>78512352929.443893</v>
      </c>
      <c r="D16" s="5">
        <f>+'I Trimestre'!D16+'II Trimestre'!D16+'III Trimestre'!D16+'IV Trimestre'!D16</f>
        <v>56360001833.932289</v>
      </c>
      <c r="E16" s="22">
        <f>+'I Trimestre'!E16+'II Trimestre'!E16+'III Trimestre'!E16+'IV Trimestre'!E16</f>
        <v>22152351095.5116</v>
      </c>
      <c r="F16" s="22">
        <f>+'I Trimestre'!F16+'II Trimestre'!F16+'III Trimestre'!F16+'IV Trimestre'!F16</f>
        <v>8180792519.8161125</v>
      </c>
      <c r="G16" s="22">
        <f>+'I Trimestre'!G16+'II Trimestre'!G16+'III Trimestre'!G16+'IV Trimestre'!G16</f>
        <v>14752931592.15</v>
      </c>
      <c r="H16" s="22">
        <f>+'I Trimestre'!H16+'II Trimestre'!H16+'III Trimestre'!H16+'IV Trimestre'!H16</f>
        <v>3432999999.96</v>
      </c>
    </row>
    <row r="17" spans="1:8" x14ac:dyDescent="0.25">
      <c r="A17" s="4" t="s">
        <v>121</v>
      </c>
      <c r="B17" s="5">
        <f t="shared" ref="B17:B18" si="2">+C17+F17+G17+H17</f>
        <v>112658908378.07588</v>
      </c>
      <c r="C17" s="5">
        <f>+'I Trimestre'!C17+'II Trimestre'!C17+'III Trimestre'!C17+'IV Trimestre'!C17</f>
        <v>86209232075.817657</v>
      </c>
      <c r="D17" s="5"/>
      <c r="E17" s="22"/>
      <c r="F17" s="22">
        <f>+'I Trimestre'!F17+'II Trimestre'!F17+'III Trimestre'!F17+'IV Trimestre'!F17</f>
        <v>10136276302.258219</v>
      </c>
      <c r="G17" s="22">
        <f>+'I Trimestre'!G17+'II Trimestre'!G17+'III Trimestre'!G17+'IV Trimestre'!G17</f>
        <v>12223400000</v>
      </c>
      <c r="H17" s="22">
        <f>+'I Trimestre'!H17+'II Trimestre'!H17+'III Trimestre'!H17+'IV Trimestre'!H17</f>
        <v>4090000000</v>
      </c>
    </row>
    <row r="18" spans="1:8" x14ac:dyDescent="0.25">
      <c r="A18" s="42" t="s">
        <v>122</v>
      </c>
      <c r="B18" s="5">
        <f t="shared" si="2"/>
        <v>112700106649.48</v>
      </c>
      <c r="C18" s="22">
        <f t="shared" si="1"/>
        <v>87527984396.869995</v>
      </c>
      <c r="D18" s="5">
        <f>+'I Trimestre'!D18+'II Trimestre'!D18+'III Trimestre'!D18+'IV Trimestre'!D18</f>
        <v>62843407250.408569</v>
      </c>
      <c r="E18" s="22">
        <f>+'I Trimestre'!E18+'II Trimestre'!E18+'III Trimestre'!E18+'IV Trimestre'!E18</f>
        <v>24684577146.461433</v>
      </c>
      <c r="F18" s="22">
        <f>+'I Trimestre'!F18+'II Trimestre'!F18+'III Trimestre'!F18+'IV Trimestre'!F18</f>
        <v>8563946441.7999992</v>
      </c>
      <c r="G18" s="22">
        <f>+'I Trimestre'!G18+'II Trimestre'!G18+'III Trimestre'!G18+'IV Trimestre'!G18</f>
        <v>12518175810.73</v>
      </c>
      <c r="H18" s="22">
        <f>+'I Trimestre'!H18+'II Trimestre'!H18+'III Trimestre'!H18+'IV Trimestre'!H18</f>
        <v>4090000000.0799999</v>
      </c>
    </row>
    <row r="19" spans="1:8" x14ac:dyDescent="0.25">
      <c r="A19" s="4" t="s">
        <v>85</v>
      </c>
      <c r="B19" s="5">
        <f>+C19+F19+G19+H19</f>
        <v>112658908378.0759</v>
      </c>
      <c r="C19" s="22">
        <f>'IV Trimestre'!C19</f>
        <v>86209232075.817673</v>
      </c>
      <c r="D19" s="5"/>
      <c r="E19" s="22"/>
      <c r="F19" s="22">
        <f>+'IV Trimestre'!F19</f>
        <v>10136276302.258219</v>
      </c>
      <c r="G19" s="22">
        <f>+'IV Trimestre'!G19</f>
        <v>12223400000</v>
      </c>
      <c r="H19" s="22">
        <f>+'IV Trimestre'!H19</f>
        <v>4090000000</v>
      </c>
    </row>
    <row r="20" spans="1:8" x14ac:dyDescent="0.25">
      <c r="A20" s="4" t="s">
        <v>123</v>
      </c>
      <c r="B20" s="41">
        <f>C20+F20+G20</f>
        <v>108610106649.39999</v>
      </c>
      <c r="C20" s="22">
        <f t="shared" si="1"/>
        <v>87527984396.869995</v>
      </c>
      <c r="D20" s="5">
        <f>+D18</f>
        <v>62843407250.408569</v>
      </c>
      <c r="E20" s="22">
        <f>+E18</f>
        <v>24684577146.461433</v>
      </c>
      <c r="F20" s="22">
        <f t="shared" ref="F20:G20" si="3">+F18</f>
        <v>8563946441.7999992</v>
      </c>
      <c r="G20" s="22">
        <f t="shared" si="3"/>
        <v>12518175810.73</v>
      </c>
      <c r="H20" s="22"/>
    </row>
    <row r="21" spans="1:8" x14ac:dyDescent="0.25">
      <c r="B21" s="5"/>
      <c r="C21" s="5"/>
      <c r="D21" s="5"/>
      <c r="E21" s="5"/>
      <c r="F21" s="5"/>
      <c r="G21" s="5"/>
    </row>
    <row r="22" spans="1:8" x14ac:dyDescent="0.25">
      <c r="A22" s="7" t="s">
        <v>6</v>
      </c>
      <c r="B22" s="8"/>
      <c r="C22" s="8"/>
      <c r="D22" s="8"/>
      <c r="E22" s="8"/>
      <c r="F22" s="8"/>
      <c r="G22" s="8"/>
      <c r="H22" s="8"/>
    </row>
    <row r="23" spans="1:8" x14ac:dyDescent="0.25">
      <c r="A23" s="9" t="s">
        <v>121</v>
      </c>
      <c r="B23" s="8">
        <f>B17</f>
        <v>112658908378.07588</v>
      </c>
      <c r="C23" s="8"/>
      <c r="D23" s="8"/>
      <c r="E23" s="8"/>
      <c r="F23" s="8"/>
      <c r="G23" s="8"/>
      <c r="H23" s="8"/>
    </row>
    <row r="24" spans="1:8" x14ac:dyDescent="0.25">
      <c r="A24" s="9" t="s">
        <v>122</v>
      </c>
      <c r="B24" s="8">
        <f>+'I Trimestre'!B24+'II Trimestre'!B24+'III Trimestre'!B24+'IV Trimestre'!B24</f>
        <v>115352129657.81999</v>
      </c>
      <c r="C24" s="8"/>
      <c r="D24" s="8"/>
      <c r="E24" s="8"/>
      <c r="F24" s="8"/>
      <c r="G24" s="8"/>
      <c r="H24" s="8"/>
    </row>
    <row r="26" spans="1:8" x14ac:dyDescent="0.25">
      <c r="A26" s="1" t="s">
        <v>7</v>
      </c>
    </row>
    <row r="27" spans="1:8" x14ac:dyDescent="0.25">
      <c r="A27" s="10" t="s">
        <v>72</v>
      </c>
      <c r="B27" s="23">
        <v>1.5325622623500001</v>
      </c>
      <c r="C27" s="23">
        <v>1.5325622623500001</v>
      </c>
      <c r="D27" s="23">
        <v>1.5325622623500001</v>
      </c>
      <c r="E27" s="23">
        <v>1.5325622623500001</v>
      </c>
      <c r="F27" s="23">
        <v>1.5325622623500001</v>
      </c>
      <c r="G27" s="23">
        <v>1.5325622623500001</v>
      </c>
      <c r="H27" s="23">
        <v>1.5325622623500001</v>
      </c>
    </row>
    <row r="28" spans="1:8" x14ac:dyDescent="0.25">
      <c r="A28" s="10" t="s">
        <v>124</v>
      </c>
      <c r="B28" s="23">
        <v>1.6141688075916665</v>
      </c>
      <c r="C28" s="23">
        <v>1.6141688075916665</v>
      </c>
      <c r="D28" s="23">
        <v>1.6141688075916665</v>
      </c>
      <c r="E28" s="23">
        <v>1.6141688075916665</v>
      </c>
      <c r="F28" s="23">
        <v>1.6141688075916665</v>
      </c>
      <c r="G28" s="23">
        <v>1.6141688075916665</v>
      </c>
      <c r="H28" s="23">
        <v>1.6141688075916665</v>
      </c>
    </row>
    <row r="29" spans="1:8" x14ac:dyDescent="0.25">
      <c r="A29" s="4" t="s">
        <v>8</v>
      </c>
      <c r="B29" s="24">
        <f>+D29+F29</f>
        <v>89249</v>
      </c>
      <c r="C29" s="39"/>
      <c r="D29" s="24">
        <v>83010</v>
      </c>
      <c r="E29" s="24" t="s">
        <v>77</v>
      </c>
      <c r="F29" s="24">
        <v>6239</v>
      </c>
      <c r="G29" s="21"/>
      <c r="H29" s="21"/>
    </row>
    <row r="31" spans="1:8" x14ac:dyDescent="0.25">
      <c r="A31" s="11" t="s">
        <v>9</v>
      </c>
      <c r="B31" s="12"/>
      <c r="C31" s="12"/>
      <c r="D31" s="12"/>
      <c r="E31" s="12"/>
      <c r="F31" s="12"/>
      <c r="G31" s="12"/>
      <c r="H31" s="12"/>
    </row>
    <row r="32" spans="1:8" x14ac:dyDescent="0.25">
      <c r="A32" s="12" t="s">
        <v>73</v>
      </c>
      <c r="B32" s="13">
        <f>B16/B27</f>
        <v>68433811544.172142</v>
      </c>
      <c r="C32" s="13">
        <f>C16/C27</f>
        <v>51229470317.933205</v>
      </c>
      <c r="D32" s="13">
        <f t="shared" ref="D32" si="4">D16/D27</f>
        <v>36775016075.047417</v>
      </c>
      <c r="E32" s="13">
        <f t="shared" ref="E32:H32" si="5">E16/E27</f>
        <v>14454454242.885788</v>
      </c>
      <c r="F32" s="13">
        <f t="shared" si="5"/>
        <v>5337983794.0625324</v>
      </c>
      <c r="G32" s="13">
        <f t="shared" si="5"/>
        <v>9626317934.7298756</v>
      </c>
      <c r="H32" s="13">
        <f t="shared" si="5"/>
        <v>2240039497.4465227</v>
      </c>
    </row>
    <row r="33" spans="1:8" x14ac:dyDescent="0.25">
      <c r="A33" s="12" t="s">
        <v>125</v>
      </c>
      <c r="B33" s="13">
        <f>B18/B28</f>
        <v>69819281675.767303</v>
      </c>
      <c r="C33" s="13">
        <f>C18/C28</f>
        <v>54224802254.394569</v>
      </c>
      <c r="D33" s="13">
        <f t="shared" ref="D33" si="6">D18/D28</f>
        <v>38932363799.155983</v>
      </c>
      <c r="E33" s="13">
        <f t="shared" ref="E33:H33" si="7">E18/E28</f>
        <v>15292438455.238598</v>
      </c>
      <c r="F33" s="13">
        <f t="shared" si="7"/>
        <v>5305483789.2558298</v>
      </c>
      <c r="G33" s="13">
        <f t="shared" si="7"/>
        <v>7755183814.6389837</v>
      </c>
      <c r="H33" s="13">
        <f t="shared" si="7"/>
        <v>2533811817.4779153</v>
      </c>
    </row>
    <row r="34" spans="1:8" x14ac:dyDescent="0.25">
      <c r="A34" s="12" t="s">
        <v>74</v>
      </c>
      <c r="B34" s="13">
        <f>B32/B10</f>
        <v>724610.13523261179</v>
      </c>
      <c r="C34" s="13">
        <f>C32/C10</f>
        <v>559951.72813441162</v>
      </c>
      <c r="D34" s="13">
        <f t="shared" ref="D34" si="8">D32/D10</f>
        <v>560371.94674953807</v>
      </c>
      <c r="E34" s="13">
        <f t="shared" ref="E34:F34" si="9">E32/E10</f>
        <v>558885.44418225996</v>
      </c>
      <c r="F34" s="13">
        <f t="shared" si="9"/>
        <v>1807545.7285611602</v>
      </c>
      <c r="G34" s="13"/>
      <c r="H34" s="13"/>
    </row>
    <row r="35" spans="1:8" x14ac:dyDescent="0.25">
      <c r="A35" s="12" t="s">
        <v>126</v>
      </c>
      <c r="B35" s="13">
        <f>B33/B12</f>
        <v>713618.87817420543</v>
      </c>
      <c r="C35" s="13">
        <f>C33/C12</f>
        <v>572942.45993062924</v>
      </c>
      <c r="D35" s="13">
        <f t="shared" ref="D35" si="10">D33/D12</f>
        <v>573083.26423926791</v>
      </c>
      <c r="E35" s="13">
        <f t="shared" ref="E35:F35" si="11">E33/E12</f>
        <v>572584.30437751568</v>
      </c>
      <c r="F35" s="13">
        <f t="shared" si="11"/>
        <v>1660211.8877404288</v>
      </c>
      <c r="G35" s="13"/>
      <c r="H35" s="13"/>
    </row>
    <row r="37" spans="1:8" x14ac:dyDescent="0.25">
      <c r="A37" s="3" t="s">
        <v>10</v>
      </c>
    </row>
    <row r="39" spans="1:8" x14ac:dyDescent="0.25">
      <c r="A39" s="1" t="s">
        <v>11</v>
      </c>
    </row>
    <row r="40" spans="1:8" x14ac:dyDescent="0.25">
      <c r="A40" s="1" t="s">
        <v>12</v>
      </c>
      <c r="B40" s="14">
        <f>((D40*C17+F40*F17)/(C17+F17))</f>
        <v>107.72299795191229</v>
      </c>
      <c r="C40" s="14"/>
      <c r="D40" s="14">
        <f>(C11)/D29*100</f>
        <v>113.87483435730634</v>
      </c>
      <c r="E40" s="14"/>
      <c r="F40" s="14">
        <f>(F11)/F29*100</f>
        <v>55.401506651707003</v>
      </c>
      <c r="G40" s="14"/>
    </row>
    <row r="41" spans="1:8" x14ac:dyDescent="0.25">
      <c r="A41" s="1" t="s">
        <v>13</v>
      </c>
      <c r="B41" s="14">
        <f>((D41*C18+F41*F18)/(C18+F18))</f>
        <v>79.110631025439531</v>
      </c>
      <c r="C41" s="40"/>
      <c r="D41" s="14">
        <f>(D12)/D29*100</f>
        <v>81.839437015620604</v>
      </c>
      <c r="E41" s="14"/>
      <c r="F41" s="14">
        <f>(F12)/F29*100</f>
        <v>51.220815301597476</v>
      </c>
      <c r="G41" s="14"/>
    </row>
    <row r="43" spans="1:8" x14ac:dyDescent="0.25">
      <c r="A43" s="1" t="s">
        <v>14</v>
      </c>
    </row>
    <row r="44" spans="1:8" x14ac:dyDescent="0.25">
      <c r="A44" s="1" t="s">
        <v>15</v>
      </c>
      <c r="B44" s="14">
        <f>B12/B11*100</f>
        <v>99.851336272588725</v>
      </c>
      <c r="C44" s="14">
        <f>C12/C11*100</f>
        <v>100.1218340341876</v>
      </c>
      <c r="D44" s="14"/>
      <c r="E44" s="14"/>
      <c r="F44" s="14">
        <f>F12/F11*100</f>
        <v>92.453830946525855</v>
      </c>
      <c r="G44" s="14"/>
    </row>
    <row r="45" spans="1:8" x14ac:dyDescent="0.25">
      <c r="A45" s="1" t="s">
        <v>16</v>
      </c>
      <c r="B45" s="14">
        <f>B18/B17*100</f>
        <v>100.03656903124416</v>
      </c>
      <c r="C45" s="14">
        <f>C18/C17*100</f>
        <v>101.52971124936197</v>
      </c>
      <c r="D45" s="14"/>
      <c r="E45" s="14"/>
      <c r="F45" s="14">
        <f>F18/F17*100</f>
        <v>84.488091942522061</v>
      </c>
      <c r="G45" s="14">
        <f>G18/G17*100</f>
        <v>102.41156970016524</v>
      </c>
      <c r="H45" s="14">
        <f>H18/H17*100</f>
        <v>100.000000001956</v>
      </c>
    </row>
    <row r="46" spans="1:8" x14ac:dyDescent="0.25">
      <c r="A46" s="12" t="s">
        <v>17</v>
      </c>
      <c r="B46" s="15">
        <f>AVERAGE(B44:B45)</f>
        <v>99.943952651916447</v>
      </c>
      <c r="C46" s="15">
        <f>AVERAGE(C44:C45)</f>
        <v>100.82577264177479</v>
      </c>
      <c r="D46" s="15"/>
      <c r="E46" s="15"/>
      <c r="F46" s="15">
        <f t="shared" ref="F46:H46" si="12">AVERAGE(F44:F45)</f>
        <v>88.470961444523965</v>
      </c>
      <c r="G46" s="15">
        <f>AVERAGE(G44:G45)</f>
        <v>102.41156970016524</v>
      </c>
      <c r="H46" s="15">
        <f t="shared" si="12"/>
        <v>100.000000001956</v>
      </c>
    </row>
    <row r="47" spans="1:8" x14ac:dyDescent="0.25">
      <c r="B47" s="14"/>
      <c r="C47" s="14"/>
      <c r="D47" s="14"/>
      <c r="E47" s="14"/>
      <c r="F47" s="14"/>
      <c r="G47" s="14"/>
      <c r="H47" s="14"/>
    </row>
    <row r="48" spans="1:8" x14ac:dyDescent="0.25">
      <c r="A48" s="1" t="s">
        <v>18</v>
      </c>
    </row>
    <row r="49" spans="1:8" x14ac:dyDescent="0.25">
      <c r="A49" s="1" t="s">
        <v>19</v>
      </c>
      <c r="B49" s="16">
        <f>B12/(B13)*100</f>
        <v>99.85031722542567</v>
      </c>
      <c r="C49" s="16">
        <f>C12/(C13)*100</f>
        <v>100.12130444594899</v>
      </c>
      <c r="D49" s="16"/>
      <c r="E49" s="16"/>
      <c r="F49" s="16">
        <f>F12/(F13)*100</f>
        <v>92.440458972133825</v>
      </c>
      <c r="G49" s="16"/>
      <c r="H49" s="16"/>
    </row>
    <row r="50" spans="1:8" x14ac:dyDescent="0.25">
      <c r="A50" s="1" t="s">
        <v>20</v>
      </c>
      <c r="B50" s="14">
        <f>B18/B19*100</f>
        <v>100.03656903124416</v>
      </c>
      <c r="C50" s="14">
        <f>C18/C19*100</f>
        <v>101.52971124936194</v>
      </c>
      <c r="D50" s="14"/>
      <c r="E50" s="14"/>
      <c r="F50" s="14">
        <f>F18/F19*100</f>
        <v>84.488091942522061</v>
      </c>
      <c r="G50" s="14">
        <f>G18/G19*100</f>
        <v>102.41156970016524</v>
      </c>
      <c r="H50" s="14">
        <f>H18/H19*100</f>
        <v>100.000000001956</v>
      </c>
    </row>
    <row r="51" spans="1:8" x14ac:dyDescent="0.25">
      <c r="A51" s="1" t="s">
        <v>21</v>
      </c>
      <c r="B51" s="14">
        <f>(B49+B50)/2</f>
        <v>99.943443128334906</v>
      </c>
      <c r="C51" s="14">
        <f t="shared" ref="C51" si="13">(C49+C50)/2</f>
        <v>100.82550784765547</v>
      </c>
      <c r="D51" s="14"/>
      <c r="E51" s="14"/>
      <c r="F51" s="14">
        <f t="shared" ref="F51" si="14">(F49+F50)/2</f>
        <v>88.464275457327943</v>
      </c>
      <c r="G51" s="14">
        <f>AVERAGE(G49:G50)</f>
        <v>102.41156970016524</v>
      </c>
      <c r="H51" s="14">
        <f t="shared" ref="H51" si="15">AVERAGE(H49:H50)</f>
        <v>100.000000001956</v>
      </c>
    </row>
    <row r="53" spans="1:8" x14ac:dyDescent="0.25">
      <c r="A53" s="1" t="s">
        <v>33</v>
      </c>
    </row>
    <row r="54" spans="1:8" x14ac:dyDescent="0.25">
      <c r="A54" s="1" t="s">
        <v>22</v>
      </c>
      <c r="B54" s="14">
        <f>(B20/B18)*100</f>
        <v>96.370899618754819</v>
      </c>
      <c r="C54" s="14"/>
      <c r="D54" s="14"/>
      <c r="E54" s="14"/>
      <c r="F54" s="14"/>
      <c r="G54" s="14"/>
      <c r="H54" s="14"/>
    </row>
    <row r="56" spans="1:8" x14ac:dyDescent="0.25">
      <c r="A56" s="1" t="s">
        <v>23</v>
      </c>
    </row>
    <row r="57" spans="1:8" x14ac:dyDescent="0.25">
      <c r="A57" s="1" t="s">
        <v>24</v>
      </c>
      <c r="B57" s="14">
        <f>((B12/B10)-1)*100</f>
        <v>3.5959364938185301</v>
      </c>
      <c r="C57" s="14">
        <f>((C12/C10)-1)*100</f>
        <v>3.4469504102948578</v>
      </c>
      <c r="D57" s="14">
        <f t="shared" ref="D57:F57" si="16">((D12/D10)-1)*100</f>
        <v>3.5181641445918954</v>
      </c>
      <c r="E57" s="14">
        <f t="shared" si="16"/>
        <v>3.2662490816997458</v>
      </c>
      <c r="F57" s="14">
        <f t="shared" si="16"/>
        <v>8.2115243523900983</v>
      </c>
      <c r="G57" s="14"/>
      <c r="H57" s="14"/>
    </row>
    <row r="58" spans="1:8" x14ac:dyDescent="0.25">
      <c r="A58" s="1" t="s">
        <v>25</v>
      </c>
      <c r="B58" s="14">
        <f>((B33/B32)-1)*100</f>
        <v>2.0245403556119035</v>
      </c>
      <c r="C58" s="14">
        <f>((C33/C32)-1)*100</f>
        <v>5.8468922631293108</v>
      </c>
      <c r="D58" s="14">
        <f t="shared" ref="D58:G58" si="17">((D33/D32)-1)*100</f>
        <v>5.8663406691815689</v>
      </c>
      <c r="E58" s="14">
        <f t="shared" si="17"/>
        <v>5.797411637075478</v>
      </c>
      <c r="F58" s="14">
        <f t="shared" si="17"/>
        <v>-0.60884420149144303</v>
      </c>
      <c r="G58" s="14">
        <f t="shared" si="17"/>
        <v>-19.437692924521066</v>
      </c>
      <c r="H58" s="14">
        <f>((H33/H32)-1)*100</f>
        <v>13.114604468638657</v>
      </c>
    </row>
    <row r="59" spans="1:8" x14ac:dyDescent="0.25">
      <c r="A59" s="12" t="s">
        <v>26</v>
      </c>
      <c r="B59" s="15">
        <f>((B35/B34)-1)*100</f>
        <v>-1.5168511346971392</v>
      </c>
      <c r="C59" s="15">
        <f>((C35/C34)-1)*100</f>
        <v>2.3199735161991253</v>
      </c>
      <c r="D59" s="15">
        <f t="shared" ref="D59:F59" si="18">((D35/D34)-1)*100</f>
        <v>2.2683714920888498</v>
      </c>
      <c r="E59" s="15">
        <f t="shared" si="18"/>
        <v>2.4511034126679432</v>
      </c>
      <c r="F59" s="15">
        <f t="shared" si="18"/>
        <v>-8.1510436218956261</v>
      </c>
      <c r="G59" s="15"/>
      <c r="H59" s="15"/>
    </row>
    <row r="60" spans="1:8" x14ac:dyDescent="0.25">
      <c r="A60" s="25"/>
      <c r="B60" s="16"/>
      <c r="C60" s="16"/>
      <c r="D60" s="16"/>
      <c r="E60" s="16"/>
      <c r="F60" s="16"/>
      <c r="G60" s="16"/>
      <c r="H60" s="16"/>
    </row>
    <row r="61" spans="1:8" x14ac:dyDescent="0.25">
      <c r="A61" s="1" t="s">
        <v>27</v>
      </c>
    </row>
    <row r="62" spans="1:8" x14ac:dyDescent="0.25">
      <c r="A62" s="1" t="s">
        <v>34</v>
      </c>
      <c r="B62" s="5">
        <f>B17/(B11*12)</f>
        <v>95814.034585643138</v>
      </c>
      <c r="C62" s="5">
        <f t="shared" ref="C62:F62" si="19">C17/(C11*12)</f>
        <v>76000.134066645202</v>
      </c>
      <c r="D62" s="5"/>
      <c r="E62" s="5"/>
      <c r="F62" s="5">
        <f t="shared" si="19"/>
        <v>244377.17108486954</v>
      </c>
      <c r="G62" s="5"/>
      <c r="H62" s="5"/>
    </row>
    <row r="63" spans="1:8" x14ac:dyDescent="0.25">
      <c r="A63" s="1" t="s">
        <v>35</v>
      </c>
      <c r="B63" s="5">
        <f>B18/(B12*12)</f>
        <v>95991.777804779995</v>
      </c>
      <c r="C63" s="5">
        <f t="shared" ref="C63:F63" si="20">C18/(C12*12)</f>
        <v>77068.820613738339</v>
      </c>
      <c r="D63" s="5">
        <f t="shared" si="20"/>
        <v>77087.760773986578</v>
      </c>
      <c r="E63" s="5">
        <f t="shared" si="20"/>
        <v>77020.643653563195</v>
      </c>
      <c r="F63" s="5">
        <f t="shared" si="20"/>
        <v>223321.85359862313</v>
      </c>
      <c r="G63" s="44"/>
      <c r="H63" s="5"/>
    </row>
    <row r="64" spans="1:8" x14ac:dyDescent="0.25">
      <c r="A64" s="12" t="s">
        <v>28</v>
      </c>
      <c r="B64" s="27">
        <f>(B62/B63)*B46</f>
        <v>99.758891386422007</v>
      </c>
      <c r="C64" s="27">
        <f>(C62/C63)*C46</f>
        <v>99.427656698589743</v>
      </c>
      <c r="D64" s="27"/>
      <c r="E64" s="27"/>
      <c r="F64" s="27">
        <f t="shared" ref="F64" si="21">(F62/F63)*F46</f>
        <v>96.812214893350813</v>
      </c>
      <c r="G64" s="15"/>
      <c r="H64" s="15"/>
    </row>
    <row r="65" spans="1:8" x14ac:dyDescent="0.25">
      <c r="A65" s="16" t="s">
        <v>44</v>
      </c>
      <c r="B65" s="5">
        <f>B17/B11</f>
        <v>1149768.4150277176</v>
      </c>
      <c r="C65" s="5">
        <f>C17/C11</f>
        <v>912001.60879974253</v>
      </c>
      <c r="D65" s="5"/>
      <c r="E65" s="5"/>
      <c r="F65" s="5">
        <f t="shared" ref="F65" si="22">F17/F11</f>
        <v>2932526.0530184344</v>
      </c>
      <c r="G65" s="16"/>
      <c r="H65" s="16"/>
    </row>
    <row r="66" spans="1:8" x14ac:dyDescent="0.25">
      <c r="A66" s="16" t="s">
        <v>45</v>
      </c>
      <c r="B66" s="5">
        <f>B18/B12</f>
        <v>1151901.3336573597</v>
      </c>
      <c r="C66" s="5">
        <f>C18/C12</f>
        <v>924825.84736486</v>
      </c>
      <c r="D66" s="22">
        <f>D18/D12</f>
        <v>925053.12928783894</v>
      </c>
      <c r="E66" s="5">
        <f t="shared" ref="E66:F66" si="23">E18/E12</f>
        <v>924247.72384275834</v>
      </c>
      <c r="F66" s="5">
        <f t="shared" si="23"/>
        <v>2679862.2431834773</v>
      </c>
      <c r="G66" s="16"/>
      <c r="H66" s="16"/>
    </row>
    <row r="67" spans="1:8" x14ac:dyDescent="0.25">
      <c r="B67" s="14"/>
      <c r="C67" s="14"/>
      <c r="D67" s="14"/>
      <c r="E67" s="14"/>
      <c r="F67" s="14"/>
      <c r="G67" s="14"/>
      <c r="H67" s="14"/>
    </row>
    <row r="68" spans="1:8" x14ac:dyDescent="0.25">
      <c r="A68" s="1" t="s">
        <v>29</v>
      </c>
      <c r="B68" s="14"/>
      <c r="C68" s="14"/>
      <c r="D68" s="14"/>
      <c r="E68" s="14"/>
      <c r="F68" s="14"/>
      <c r="G68" s="14"/>
      <c r="H68" s="14"/>
    </row>
    <row r="69" spans="1:8" x14ac:dyDescent="0.25">
      <c r="A69" s="17" t="s">
        <v>30</v>
      </c>
      <c r="B69" s="18">
        <f>(B24/B23)*100</f>
        <v>102.39059770640226</v>
      </c>
      <c r="C69" s="18"/>
      <c r="D69" s="18"/>
      <c r="E69" s="18"/>
      <c r="F69" s="18"/>
      <c r="G69" s="18"/>
      <c r="H69" s="18"/>
    </row>
    <row r="70" spans="1:8" x14ac:dyDescent="0.25">
      <c r="A70" s="17" t="s">
        <v>31</v>
      </c>
      <c r="B70" s="18">
        <f>(B18/B24)*100</f>
        <v>97.700932773233632</v>
      </c>
      <c r="C70" s="18"/>
      <c r="D70" s="18"/>
      <c r="E70" s="18"/>
      <c r="F70" s="18"/>
      <c r="G70" s="18"/>
      <c r="H70" s="18"/>
    </row>
    <row r="71" spans="1:8" ht="15.75" thickBot="1" x14ac:dyDescent="0.3">
      <c r="A71" s="19"/>
      <c r="B71" s="19"/>
      <c r="C71" s="19"/>
      <c r="D71" s="19"/>
      <c r="E71" s="19"/>
      <c r="F71" s="19"/>
      <c r="G71" s="19"/>
      <c r="H71" s="19"/>
    </row>
    <row r="72" spans="1:8" ht="15.75" thickTop="1" x14ac:dyDescent="0.25"/>
    <row r="73" spans="1:8" x14ac:dyDescent="0.25">
      <c r="A73" s="1" t="s">
        <v>32</v>
      </c>
    </row>
    <row r="74" spans="1:8" x14ac:dyDescent="0.25">
      <c r="A74" s="1" t="s">
        <v>127</v>
      </c>
    </row>
    <row r="75" spans="1:8" x14ac:dyDescent="0.25">
      <c r="A75" s="1" t="s">
        <v>90</v>
      </c>
      <c r="B75" s="20"/>
      <c r="C75" s="20"/>
      <c r="D75" s="20"/>
      <c r="E75" s="20"/>
      <c r="F75" s="20"/>
    </row>
    <row r="76" spans="1:8" x14ac:dyDescent="0.25">
      <c r="A76" s="1" t="s">
        <v>128</v>
      </c>
    </row>
    <row r="78" spans="1:8" x14ac:dyDescent="0.25">
      <c r="A78" s="1" t="s">
        <v>48</v>
      </c>
    </row>
    <row r="79" spans="1:8" x14ac:dyDescent="0.25">
      <c r="A79" s="1" t="s">
        <v>50</v>
      </c>
    </row>
    <row r="80" spans="1:8" x14ac:dyDescent="0.25">
      <c r="A80" s="1" t="s">
        <v>49</v>
      </c>
    </row>
    <row r="81" spans="1:1" x14ac:dyDescent="0.25">
      <c r="A81" s="33" t="s">
        <v>78</v>
      </c>
    </row>
    <row r="82" spans="1:1" x14ac:dyDescent="0.25">
      <c r="A82" s="34" t="s">
        <v>79</v>
      </c>
    </row>
    <row r="83" spans="1:1" x14ac:dyDescent="0.25">
      <c r="A83" s="34" t="s">
        <v>80</v>
      </c>
    </row>
    <row r="85" spans="1:1" x14ac:dyDescent="0.25">
      <c r="A85" s="1" t="s">
        <v>131</v>
      </c>
    </row>
  </sheetData>
  <mergeCells count="5">
    <mergeCell ref="A2:H2"/>
    <mergeCell ref="A4:A5"/>
    <mergeCell ref="B4:B5"/>
    <mergeCell ref="G4:G5"/>
    <mergeCell ref="H4:H5"/>
  </mergeCells>
  <pageMargins left="0.7" right="0.7" top="0.75" bottom="0.75" header="0.3" footer="0.3"/>
  <pageSetup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15" sqref="N15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 Acumulado</vt:lpstr>
      <vt:lpstr>Anual</vt:lpstr>
      <vt:lpstr>Observaciones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Horacio Rodriguez</cp:lastModifiedBy>
  <dcterms:created xsi:type="dcterms:W3CDTF">2012-04-23T14:39:07Z</dcterms:created>
  <dcterms:modified xsi:type="dcterms:W3CDTF">2014-11-04T18:21:07Z</dcterms:modified>
</cp:coreProperties>
</file>