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odo\DESAF 2014\cambio indicadores en la web\"/>
    </mc:Choice>
  </mc:AlternateContent>
  <bookViews>
    <workbookView xWindow="0" yWindow="0" windowWidth="21600" windowHeight="9735" firstSheet="1" activeTab="6"/>
  </bookViews>
  <sheets>
    <sheet name="I Trimestre" sheetId="2" r:id="rId1"/>
    <sheet name="II Trimestre" sheetId="3" r:id="rId2"/>
    <sheet name="III Trimestre" sheetId="1" r:id="rId3"/>
    <sheet name="IV Trimestre" sheetId="4" r:id="rId4"/>
    <sheet name="I semestre" sheetId="5" r:id="rId5"/>
    <sheet name="3 Trimestre Acumulado" sheetId="6" r:id="rId6"/>
    <sheet name="Anual" sheetId="7" r:id="rId7"/>
    <sheet name="Hoja1" sheetId="8" r:id="rId8"/>
  </sheets>
  <calcPr calcId="152511"/>
</workbook>
</file>

<file path=xl/calcChain.xml><?xml version="1.0" encoding="utf-8"?>
<calcChain xmlns="http://schemas.openxmlformats.org/spreadsheetml/2006/main">
  <c r="C70" i="3" l="1"/>
  <c r="C70" i="1"/>
  <c r="C70" i="4"/>
  <c r="C70" i="2"/>
  <c r="B20" i="3" l="1"/>
  <c r="B20" i="1"/>
  <c r="B20" i="4"/>
  <c r="B20" i="2"/>
  <c r="B53" i="6"/>
  <c r="C48" i="4"/>
  <c r="C48" i="1"/>
  <c r="C48" i="3"/>
  <c r="C48" i="2"/>
  <c r="C17" i="7"/>
  <c r="B17" i="7" s="1"/>
  <c r="C16" i="7"/>
  <c r="B16" i="7" s="1"/>
  <c r="B53" i="7" s="1"/>
  <c r="C17" i="6"/>
  <c r="B17" i="6" s="1"/>
  <c r="C16" i="6"/>
  <c r="B16" i="6" s="1"/>
  <c r="C17" i="5"/>
  <c r="B17" i="5"/>
  <c r="C16" i="5"/>
  <c r="B16" i="5" s="1"/>
  <c r="B53" i="5" s="1"/>
  <c r="C17" i="4"/>
  <c r="B17" i="4"/>
  <c r="C16" i="4"/>
  <c r="B16" i="4" s="1"/>
  <c r="C17" i="1"/>
  <c r="B17" i="1" s="1"/>
  <c r="C16" i="1"/>
  <c r="B16" i="1" s="1"/>
  <c r="C17" i="3"/>
  <c r="B17" i="3" s="1"/>
  <c r="C16" i="3"/>
  <c r="C53" i="3" s="1"/>
  <c r="B16" i="3"/>
  <c r="C16" i="2"/>
  <c r="C53" i="2" s="1"/>
  <c r="C17" i="2"/>
  <c r="B17" i="2" s="1"/>
  <c r="C67" i="4"/>
  <c r="C66" i="4"/>
  <c r="C67" i="1"/>
  <c r="C66" i="1"/>
  <c r="C67" i="3"/>
  <c r="C66" i="3"/>
  <c r="C66" i="2"/>
  <c r="C67" i="2"/>
  <c r="C13" i="7"/>
  <c r="B13" i="7" s="1"/>
  <c r="C13" i="4"/>
  <c r="B13" i="4" s="1"/>
  <c r="B13" i="1"/>
  <c r="C13" i="1"/>
  <c r="C13" i="3"/>
  <c r="B13" i="3" s="1"/>
  <c r="B13" i="2"/>
  <c r="C13" i="2"/>
  <c r="C13" i="6" s="1"/>
  <c r="B13" i="6" s="1"/>
  <c r="C53" i="4" l="1"/>
  <c r="C53" i="6"/>
  <c r="C13" i="5"/>
  <c r="B13" i="5" s="1"/>
  <c r="C53" i="7"/>
  <c r="C53" i="1"/>
  <c r="C53" i="5"/>
  <c r="E54" i="4"/>
  <c r="E54" i="1"/>
  <c r="E54" i="3"/>
  <c r="E54" i="2"/>
  <c r="E21" i="4"/>
  <c r="D21" i="4"/>
  <c r="B21" i="4" s="1"/>
  <c r="E21" i="1"/>
  <c r="D21" i="1"/>
  <c r="B21" i="1" s="1"/>
  <c r="E21" i="3"/>
  <c r="D21" i="3"/>
  <c r="B21" i="3" s="1"/>
  <c r="C15" i="7"/>
  <c r="M16" i="7" s="1"/>
  <c r="C11" i="7"/>
  <c r="D36" i="1"/>
  <c r="E36" i="1"/>
  <c r="D37" i="1"/>
  <c r="E37" i="1"/>
  <c r="E39" i="1" s="1"/>
  <c r="D38" i="1"/>
  <c r="E38" i="1"/>
  <c r="D39" i="1"/>
  <c r="D36" i="3"/>
  <c r="E36" i="3"/>
  <c r="D37" i="3"/>
  <c r="D39" i="3" s="1"/>
  <c r="E37" i="3"/>
  <c r="E39" i="3" s="1"/>
  <c r="D38" i="3"/>
  <c r="E38" i="3"/>
  <c r="D36" i="2"/>
  <c r="D38" i="2" s="1"/>
  <c r="E36" i="2"/>
  <c r="E38" i="2" s="1"/>
  <c r="D37" i="2"/>
  <c r="D39" i="2" s="1"/>
  <c r="E37" i="2"/>
  <c r="E39" i="2" s="1"/>
  <c r="E36" i="5"/>
  <c r="E38" i="5" s="1"/>
  <c r="E36" i="6"/>
  <c r="E38" i="6" s="1"/>
  <c r="D36" i="4"/>
  <c r="D38" i="4" s="1"/>
  <c r="E36" i="4"/>
  <c r="E38" i="4" s="1"/>
  <c r="D37" i="4"/>
  <c r="D39" i="4" s="1"/>
  <c r="E37" i="4"/>
  <c r="E39" i="4" s="1"/>
  <c r="C24" i="4" l="1"/>
  <c r="B11" i="4"/>
  <c r="B15" i="4"/>
  <c r="C15" i="6"/>
  <c r="C11" i="6" l="1"/>
  <c r="B11" i="6" s="1"/>
  <c r="C24" i="1" l="1"/>
  <c r="C11" i="5" l="1"/>
  <c r="C61" i="5"/>
  <c r="C71" i="4"/>
  <c r="C68" i="4"/>
  <c r="E62" i="4"/>
  <c r="C61" i="4"/>
  <c r="D54" i="4"/>
  <c r="C54" i="4"/>
  <c r="E49" i="4"/>
  <c r="D49" i="4"/>
  <c r="C49" i="4"/>
  <c r="C71" i="1"/>
  <c r="C68" i="1"/>
  <c r="E62" i="1"/>
  <c r="C61" i="1"/>
  <c r="D54" i="1"/>
  <c r="C54" i="1"/>
  <c r="E49" i="1"/>
  <c r="D49" i="1"/>
  <c r="C49" i="1"/>
  <c r="C71" i="3"/>
  <c r="C68" i="3"/>
  <c r="E62" i="3"/>
  <c r="C61" i="3"/>
  <c r="D54" i="3"/>
  <c r="C54" i="3"/>
  <c r="E49" i="3"/>
  <c r="D49" i="3"/>
  <c r="C49" i="3"/>
  <c r="C71" i="2" l="1"/>
  <c r="C55" i="4"/>
  <c r="C55" i="1"/>
  <c r="C55" i="3"/>
  <c r="C12" i="6" l="1"/>
  <c r="C48" i="6" s="1"/>
  <c r="C12" i="5"/>
  <c r="C48" i="5" s="1"/>
  <c r="C50" i="4"/>
  <c r="C12" i="7"/>
  <c r="C48" i="7" s="1"/>
  <c r="C50" i="1"/>
  <c r="C50" i="3"/>
  <c r="B11" i="2"/>
  <c r="B11" i="5" l="1"/>
  <c r="B11" i="7"/>
  <c r="C69" i="3"/>
  <c r="C69" i="4"/>
  <c r="C69" i="1"/>
  <c r="C15" i="5"/>
  <c r="C61" i="2" l="1"/>
  <c r="C24" i="3" l="1"/>
  <c r="B15" i="3" l="1"/>
  <c r="E21" i="2" l="1"/>
  <c r="D21" i="2"/>
  <c r="B21" i="2" s="1"/>
  <c r="C68" i="2" l="1"/>
  <c r="C24" i="2"/>
  <c r="B15" i="2"/>
  <c r="B15" i="7" l="1"/>
  <c r="B15" i="6"/>
  <c r="B15" i="5"/>
  <c r="C61" i="6" l="1"/>
  <c r="C61" i="7"/>
  <c r="F172" i="2"/>
  <c r="E62" i="2" l="1"/>
  <c r="E22" i="6"/>
  <c r="E23" i="6"/>
  <c r="E22" i="5"/>
  <c r="E23" i="5"/>
  <c r="E20" i="7"/>
  <c r="E36" i="7" s="1"/>
  <c r="E22" i="7"/>
  <c r="E23" i="7"/>
  <c r="E37" i="5" l="1"/>
  <c r="E62" i="5" s="1"/>
  <c r="E54" i="5"/>
  <c r="E37" i="6"/>
  <c r="E39" i="6" s="1"/>
  <c r="E54" i="6"/>
  <c r="E37" i="7"/>
  <c r="E39" i="7" s="1"/>
  <c r="E54" i="7"/>
  <c r="E38" i="7"/>
  <c r="B22" i="4"/>
  <c r="B23" i="4"/>
  <c r="B22" i="1"/>
  <c r="B23" i="1"/>
  <c r="B22" i="3"/>
  <c r="B23" i="3"/>
  <c r="B22" i="2"/>
  <c r="B23" i="2"/>
  <c r="E62" i="7" l="1"/>
  <c r="E39" i="5"/>
  <c r="E62" i="6"/>
  <c r="B75" i="4"/>
  <c r="B54" i="4"/>
  <c r="B54" i="3"/>
  <c r="B75" i="3"/>
  <c r="B75" i="1"/>
  <c r="B54" i="1"/>
  <c r="B49" i="4"/>
  <c r="B49" i="3"/>
  <c r="E21" i="6" l="1"/>
  <c r="E49" i="6" s="1"/>
  <c r="E21" i="5"/>
  <c r="E49" i="5" s="1"/>
  <c r="E49" i="2"/>
  <c r="E21" i="7"/>
  <c r="E49" i="7" s="1"/>
  <c r="C23" i="7"/>
  <c r="D23" i="7"/>
  <c r="C23" i="6"/>
  <c r="D23" i="6"/>
  <c r="B23" i="6"/>
  <c r="C23" i="5"/>
  <c r="D23" i="5"/>
  <c r="B23" i="5"/>
  <c r="B23" i="7" l="1"/>
  <c r="B49" i="1"/>
  <c r="C21" i="5"/>
  <c r="D21" i="5"/>
  <c r="C22" i="5"/>
  <c r="C67" i="5" s="1"/>
  <c r="D22" i="5"/>
  <c r="D37" i="5" s="1"/>
  <c r="D39" i="5" s="1"/>
  <c r="D20" i="5"/>
  <c r="D36" i="5" s="1"/>
  <c r="D38" i="5" s="1"/>
  <c r="C20" i="5"/>
  <c r="B20" i="5" s="1"/>
  <c r="C21" i="6"/>
  <c r="D21" i="6"/>
  <c r="C22" i="6"/>
  <c r="C67" i="6" s="1"/>
  <c r="D22" i="6"/>
  <c r="D20" i="6"/>
  <c r="D36" i="6" s="1"/>
  <c r="D38" i="6" s="1"/>
  <c r="C20" i="6"/>
  <c r="B20" i="6" s="1"/>
  <c r="C21" i="7"/>
  <c r="D21" i="7"/>
  <c r="C22" i="7"/>
  <c r="D22" i="7"/>
  <c r="D20" i="7"/>
  <c r="D36" i="7" s="1"/>
  <c r="D38" i="7" s="1"/>
  <c r="C20" i="7"/>
  <c r="B20" i="7" s="1"/>
  <c r="C70" i="7" l="1"/>
  <c r="B21" i="7"/>
  <c r="C70" i="5"/>
  <c r="C66" i="5"/>
  <c r="B21" i="5"/>
  <c r="C66" i="6"/>
  <c r="C70" i="6"/>
  <c r="B21" i="6"/>
  <c r="B70" i="6" s="1"/>
  <c r="C68" i="7"/>
  <c r="C67" i="7"/>
  <c r="M19" i="7"/>
  <c r="C66" i="7"/>
  <c r="D49" i="6"/>
  <c r="D54" i="7"/>
  <c r="D37" i="7"/>
  <c r="D39" i="7" s="1"/>
  <c r="B22" i="6"/>
  <c r="B67" i="6" s="1"/>
  <c r="D54" i="6"/>
  <c r="D37" i="6"/>
  <c r="D39" i="6" s="1"/>
  <c r="B22" i="7"/>
  <c r="B67" i="7" s="1"/>
  <c r="D54" i="5"/>
  <c r="D49" i="5"/>
  <c r="C54" i="5"/>
  <c r="C55" i="5" s="1"/>
  <c r="C68" i="5"/>
  <c r="C71" i="5"/>
  <c r="C49" i="5"/>
  <c r="C50" i="5" s="1"/>
  <c r="C54" i="7"/>
  <c r="C55" i="7" s="1"/>
  <c r="C71" i="7"/>
  <c r="D49" i="7"/>
  <c r="C54" i="6"/>
  <c r="C55" i="6" s="1"/>
  <c r="C68" i="6"/>
  <c r="C71" i="6"/>
  <c r="C49" i="6"/>
  <c r="C50" i="6" s="1"/>
  <c r="C49" i="7"/>
  <c r="C50" i="7" s="1"/>
  <c r="C24" i="7"/>
  <c r="B24" i="7" s="1"/>
  <c r="C24" i="6"/>
  <c r="B24" i="6" s="1"/>
  <c r="C24" i="5"/>
  <c r="B24" i="5" s="1"/>
  <c r="B12" i="7"/>
  <c r="B10" i="7"/>
  <c r="B61" i="7" s="1"/>
  <c r="B12" i="6"/>
  <c r="B10" i="6"/>
  <c r="B22" i="5"/>
  <c r="B67" i="5" s="1"/>
  <c r="B12" i="5"/>
  <c r="B10" i="5"/>
  <c r="B24" i="4"/>
  <c r="B58" i="4" s="1"/>
  <c r="B14" i="4"/>
  <c r="B12" i="4"/>
  <c r="B10" i="4"/>
  <c r="B24" i="1"/>
  <c r="B58" i="1" s="1"/>
  <c r="B14" i="1"/>
  <c r="B12" i="1"/>
  <c r="B10" i="1"/>
  <c r="B24" i="3"/>
  <c r="B58" i="3" s="1"/>
  <c r="B14" i="3"/>
  <c r="B12" i="3"/>
  <c r="B10" i="3"/>
  <c r="B24" i="2"/>
  <c r="B58" i="2" s="1"/>
  <c r="B16" i="2"/>
  <c r="B14" i="2"/>
  <c r="B12" i="2"/>
  <c r="B10" i="2"/>
  <c r="B48" i="1" l="1"/>
  <c r="B53" i="1"/>
  <c r="B55" i="1" s="1"/>
  <c r="B67" i="1"/>
  <c r="B44" i="4"/>
  <c r="B70" i="4"/>
  <c r="B66" i="4"/>
  <c r="B44" i="6"/>
  <c r="B48" i="6"/>
  <c r="B53" i="3"/>
  <c r="B55" i="3" s="1"/>
  <c r="B48" i="3"/>
  <c r="B67" i="3"/>
  <c r="B44" i="2"/>
  <c r="B70" i="2"/>
  <c r="B66" i="2"/>
  <c r="B48" i="4"/>
  <c r="B53" i="4"/>
  <c r="B55" i="4" s="1"/>
  <c r="B67" i="4"/>
  <c r="B44" i="5"/>
  <c r="B48" i="5"/>
  <c r="B70" i="7"/>
  <c r="B44" i="1"/>
  <c r="B66" i="1"/>
  <c r="B70" i="1"/>
  <c r="B48" i="2"/>
  <c r="B61" i="2"/>
  <c r="B53" i="2"/>
  <c r="B71" i="2"/>
  <c r="B67" i="2"/>
  <c r="B44" i="3"/>
  <c r="B66" i="3"/>
  <c r="B70" i="3"/>
  <c r="B44" i="7"/>
  <c r="B48" i="7"/>
  <c r="B70" i="5"/>
  <c r="B66" i="5"/>
  <c r="B66" i="7"/>
  <c r="B66" i="6"/>
  <c r="B71" i="7"/>
  <c r="B58" i="5"/>
  <c r="B50" i="3"/>
  <c r="B45" i="4"/>
  <c r="B61" i="4"/>
  <c r="B71" i="4"/>
  <c r="B50" i="1"/>
  <c r="B54" i="5"/>
  <c r="B55" i="5" s="1"/>
  <c r="B49" i="5"/>
  <c r="B58" i="6"/>
  <c r="C69" i="5"/>
  <c r="B50" i="4"/>
  <c r="B61" i="3"/>
  <c r="B45" i="3"/>
  <c r="B71" i="3"/>
  <c r="B54" i="7"/>
  <c r="B55" i="7" s="1"/>
  <c r="B54" i="6"/>
  <c r="B55" i="6" s="1"/>
  <c r="B58" i="7"/>
  <c r="C69" i="6"/>
  <c r="B49" i="6"/>
  <c r="B49" i="7"/>
  <c r="C69" i="7"/>
  <c r="B45" i="7"/>
  <c r="C45" i="7" s="1"/>
  <c r="B71" i="1"/>
  <c r="B61" i="1"/>
  <c r="B45" i="1"/>
  <c r="B61" i="6"/>
  <c r="B45" i="6"/>
  <c r="B71" i="6"/>
  <c r="B61" i="5"/>
  <c r="B45" i="5"/>
  <c r="B71" i="5"/>
  <c r="C54" i="2"/>
  <c r="B50" i="7" l="1"/>
  <c r="B69" i="7" s="1"/>
  <c r="B50" i="6"/>
  <c r="B69" i="6" s="1"/>
  <c r="B69" i="1"/>
  <c r="B69" i="4"/>
  <c r="B50" i="5"/>
  <c r="B69" i="5" s="1"/>
  <c r="B69" i="3"/>
  <c r="B28" i="5"/>
  <c r="B28" i="6"/>
  <c r="B75" i="6" s="1"/>
  <c r="C36" i="6"/>
  <c r="C38" i="6" s="1"/>
  <c r="B28" i="7"/>
  <c r="B75" i="7" s="1"/>
  <c r="C36" i="7"/>
  <c r="C38" i="7" s="1"/>
  <c r="C37" i="4"/>
  <c r="C36" i="4"/>
  <c r="C38" i="4" s="1"/>
  <c r="B36" i="4"/>
  <c r="D62" i="3"/>
  <c r="C37" i="3"/>
  <c r="C36" i="3"/>
  <c r="C38" i="3" s="1"/>
  <c r="B36" i="3"/>
  <c r="C62" i="3" l="1"/>
  <c r="C39" i="3"/>
  <c r="C63" i="3" s="1"/>
  <c r="B75" i="5"/>
  <c r="D62" i="4"/>
  <c r="C62" i="4"/>
  <c r="B36" i="5"/>
  <c r="B38" i="5" s="1"/>
  <c r="D62" i="7"/>
  <c r="D62" i="5"/>
  <c r="C37" i="7"/>
  <c r="B36" i="6"/>
  <c r="B38" i="6" s="1"/>
  <c r="B36" i="7"/>
  <c r="B38" i="7" s="1"/>
  <c r="C36" i="5"/>
  <c r="C38" i="5" s="1"/>
  <c r="C37" i="5"/>
  <c r="C39" i="5" s="1"/>
  <c r="D62" i="6"/>
  <c r="C37" i="6"/>
  <c r="B37" i="7"/>
  <c r="B38" i="4"/>
  <c r="B37" i="4"/>
  <c r="B62" i="4" s="1"/>
  <c r="C39" i="4"/>
  <c r="C63" i="4" s="1"/>
  <c r="B38" i="3"/>
  <c r="B37" i="3"/>
  <c r="B62" i="3" s="1"/>
  <c r="C49" i="2"/>
  <c r="C37" i="2"/>
  <c r="C39" i="2" s="1"/>
  <c r="C36" i="2"/>
  <c r="C38" i="2" s="1"/>
  <c r="B36" i="2"/>
  <c r="D54" i="2"/>
  <c r="C55" i="2"/>
  <c r="C37" i="1"/>
  <c r="C36" i="1"/>
  <c r="C38" i="1" s="1"/>
  <c r="B36" i="1"/>
  <c r="C62" i="7" l="1"/>
  <c r="C39" i="7"/>
  <c r="C63" i="7" s="1"/>
  <c r="C62" i="1"/>
  <c r="C39" i="1"/>
  <c r="C63" i="1" s="1"/>
  <c r="C62" i="6"/>
  <c r="C39" i="6"/>
  <c r="C63" i="6" s="1"/>
  <c r="B62" i="7"/>
  <c r="C62" i="5"/>
  <c r="D62" i="1"/>
  <c r="D62" i="2"/>
  <c r="B45" i="2"/>
  <c r="B37" i="6"/>
  <c r="B62" i="6" s="1"/>
  <c r="B75" i="2"/>
  <c r="D49" i="2"/>
  <c r="C62" i="2"/>
  <c r="C63" i="5"/>
  <c r="B37" i="5"/>
  <c r="B62" i="5" s="1"/>
  <c r="B39" i="7"/>
  <c r="B63" i="7" s="1"/>
  <c r="B39" i="4"/>
  <c r="B63" i="4" s="1"/>
  <c r="B27" i="4"/>
  <c r="B74" i="4" s="1"/>
  <c r="B39" i="3"/>
  <c r="B63" i="3" s="1"/>
  <c r="B27" i="3"/>
  <c r="B74" i="3" s="1"/>
  <c r="B38" i="2"/>
  <c r="B37" i="2"/>
  <c r="B62" i="2" s="1"/>
  <c r="C63" i="2"/>
  <c r="C50" i="2"/>
  <c r="C69" i="2" s="1"/>
  <c r="B54" i="2"/>
  <c r="B38" i="1"/>
  <c r="B37" i="1"/>
  <c r="B62" i="1" s="1"/>
  <c r="B39" i="6" l="1"/>
  <c r="B63" i="6" s="1"/>
  <c r="B39" i="5"/>
  <c r="B63" i="5" s="1"/>
  <c r="B55" i="2"/>
  <c r="B39" i="2"/>
  <c r="B63" i="2" s="1"/>
  <c r="B49" i="2"/>
  <c r="B27" i="2"/>
  <c r="B74" i="2" s="1"/>
  <c r="B27" i="1"/>
  <c r="B74" i="1" s="1"/>
  <c r="B39" i="1"/>
  <c r="B63" i="1" s="1"/>
  <c r="B27" i="6" l="1"/>
  <c r="B74" i="6" s="1"/>
  <c r="B27" i="5"/>
  <c r="B74" i="5" s="1"/>
  <c r="B27" i="7"/>
  <c r="B74" i="7" s="1"/>
  <c r="B50" i="2"/>
  <c r="B69" i="2" s="1"/>
</calcChain>
</file>

<file path=xl/sharedStrings.xml><?xml version="1.0" encoding="utf-8"?>
<sst xmlns="http://schemas.openxmlformats.org/spreadsheetml/2006/main" count="492" uniqueCount="170">
  <si>
    <t>Indicador</t>
  </si>
  <si>
    <t>Total</t>
  </si>
  <si>
    <t>Productos</t>
  </si>
  <si>
    <t>programa</t>
  </si>
  <si>
    <t>Subsidios</t>
  </si>
  <si>
    <t>Gastos</t>
  </si>
  <si>
    <t>Insumos</t>
  </si>
  <si>
    <t xml:space="preserve">Beneficiarios 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</si>
  <si>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</si>
  <si>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</si>
  <si>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</si>
  <si>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</si>
  <si>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</si>
  <si>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</si>
  <si>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</si>
  <si>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</si>
  <si>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</si>
  <si>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</si>
  <si>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</si>
  <si>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</si>
  <si>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</si>
  <si>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</si>
  <si>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</si>
  <si>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</si>
  <si>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</si>
  <si>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</si>
  <si>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</si>
  <si>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</si>
  <si>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</si>
  <si>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</si>
  <si>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</si>
  <si>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</si>
  <si>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</si>
  <si>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</si>
  <si>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</si>
  <si>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Fuentes:</t>
  </si>
  <si>
    <t>De composición</t>
  </si>
  <si>
    <t xml:space="preserve">Gasto mensual programado por beneficiario (GPB) </t>
  </si>
  <si>
    <t xml:space="preserve">Gasto mensual efectivo por beneficiario (GEB) </t>
  </si>
  <si>
    <t xml:space="preserve">Gasto programado trimestral por beneficiario (GPB) </t>
  </si>
  <si>
    <t xml:space="preserve">Gasto efectivo trimestral por beneficiario (GEB) </t>
  </si>
  <si>
    <t>Publicidad</t>
  </si>
  <si>
    <t>Total Programa</t>
  </si>
  <si>
    <t>Efectivo 1T 2012</t>
  </si>
  <si>
    <t>IPC (1T 2012)</t>
  </si>
  <si>
    <t>Gasto efectivo real 1T 2012</t>
  </si>
  <si>
    <t>Gasto efectivo real por beneficiario 1T 2012</t>
  </si>
  <si>
    <t>Efectivo 2T 2012</t>
  </si>
  <si>
    <t>IPC (2T 2012)</t>
  </si>
  <si>
    <t>Gasto efectivo real 2T 2012</t>
  </si>
  <si>
    <t>Gasto efectivo real por beneficiario 2T 2012</t>
  </si>
  <si>
    <t>Efectivo 3T 2012</t>
  </si>
  <si>
    <t>IPC (3T 2012)</t>
  </si>
  <si>
    <t>Gasto efectivo real 3T 2012</t>
  </si>
  <si>
    <t>Gasto efectivo real por beneficiario 3T 2012</t>
  </si>
  <si>
    <t>Efectivo 4T 2012</t>
  </si>
  <si>
    <t>IPC (4T 2012)</t>
  </si>
  <si>
    <t>Gasto efectivo real 4T 2012</t>
  </si>
  <si>
    <t>Gasto efectivo real por beneficiario 4T 2012</t>
  </si>
  <si>
    <t>Efectivo 1S 2012</t>
  </si>
  <si>
    <t>IPC (1S 2012)</t>
  </si>
  <si>
    <t>Gasto efectivo real 1S 2012</t>
  </si>
  <si>
    <t>Gasto efectivo real por beneficiario 1S 2012</t>
  </si>
  <si>
    <t>Efectivo 3TA 2012</t>
  </si>
  <si>
    <t>IPC (3TA 2012)</t>
  </si>
  <si>
    <t>Gasto efectivo real 3TA 2012</t>
  </si>
  <si>
    <t>Gasto efectivo real por beneficiario 3TA 2012</t>
  </si>
  <si>
    <t>Efectivo  2012</t>
  </si>
  <si>
    <t>IPC ( 2012)</t>
  </si>
  <si>
    <t>Gasto efectivo real  2012</t>
  </si>
  <si>
    <t>Gasto efectivo real por beneficiario  2012</t>
  </si>
  <si>
    <t>Gasto</t>
  </si>
  <si>
    <t>Administrativo</t>
  </si>
  <si>
    <t xml:space="preserve">Gasto programado anual por beneficiario (GPB) </t>
  </si>
  <si>
    <t xml:space="preserve">Gasto efectivo anual por beneficiario (GEB) </t>
  </si>
  <si>
    <t xml:space="preserve">Gasto programado semestral por beneficiario (GPB) </t>
  </si>
  <si>
    <t xml:space="preserve">Gasto efectivo semestral por beneficiario (GEB) </t>
  </si>
  <si>
    <t xml:space="preserve">Gasto programado acumulado por beneficiario (GPB) </t>
  </si>
  <si>
    <t xml:space="preserve">Gasto efectivo acumulado por beneficiario (GEB) </t>
  </si>
  <si>
    <t>Indicadores propuestos aplicado a Pacientes en Fase Terminal.Año 2013</t>
  </si>
  <si>
    <t>Programados  2013</t>
  </si>
  <si>
    <t>Efectivos  2013</t>
  </si>
  <si>
    <t>Programados año 2013</t>
  </si>
  <si>
    <t>Programado  2013</t>
  </si>
  <si>
    <t>Efectivo  2013</t>
  </si>
  <si>
    <t>En transferencias  2013</t>
  </si>
  <si>
    <t>IPC ( 2013)</t>
  </si>
  <si>
    <t>Gasto efectivo real  2013</t>
  </si>
  <si>
    <t>Gasto efectivo real por beneficiario  2013</t>
  </si>
  <si>
    <t>Indicadores propuestos aplicado a Pacientes en Fase Terminal. Tercer Trimestre Acumulado 2013</t>
  </si>
  <si>
    <t>Programados 3TA 2013</t>
  </si>
  <si>
    <t>Efectivos 3TA 2013</t>
  </si>
  <si>
    <t>Programado 3TA 2013</t>
  </si>
  <si>
    <t>Efectivo 3TA 2013</t>
  </si>
  <si>
    <t>En transferencias 3TA 2013</t>
  </si>
  <si>
    <t>IPC (3TA 2013)</t>
  </si>
  <si>
    <t>Gasto efectivo real 3TA 2013</t>
  </si>
  <si>
    <t>Gasto efectivo real por beneficiario 3TA 2013</t>
  </si>
  <si>
    <t>Indicadores propuestos aplicado a Pacientes en Fase Terminal. Primer Semestre 2013</t>
  </si>
  <si>
    <t>Programados 1S 2013</t>
  </si>
  <si>
    <t>Efectivos 1S 2013</t>
  </si>
  <si>
    <t>Programado 1S 2013</t>
  </si>
  <si>
    <t>Efectivo 1S 2013</t>
  </si>
  <si>
    <t>En transferencias 1S 2013</t>
  </si>
  <si>
    <t>IPC (1S 2013)</t>
  </si>
  <si>
    <t>Gasto efectivo real 1S 2013</t>
  </si>
  <si>
    <t>Gasto efectivo real por beneficiario 1S 2013</t>
  </si>
  <si>
    <t>Indicadores propuestos aplicado a Pacientes en Fase Terminal.Cuarto Trimestre 2013</t>
  </si>
  <si>
    <t>Programados 4T 2013</t>
  </si>
  <si>
    <t>Efectivos 4T 2013</t>
  </si>
  <si>
    <t>Programado 4T 2013</t>
  </si>
  <si>
    <t>Efectivo 4T 2013</t>
  </si>
  <si>
    <t>En transferencias 4T 2013</t>
  </si>
  <si>
    <t>IPC (4T 2013)</t>
  </si>
  <si>
    <t>Gasto efectivo real 4T 2013</t>
  </si>
  <si>
    <t>Gasto efectivo real por beneficiario 4T 2013</t>
  </si>
  <si>
    <t>Indicadores propuestos aplicado a Pacientes en Fase Terminal. Tercer trimestre 2013</t>
  </si>
  <si>
    <t>Programados 3T 2013</t>
  </si>
  <si>
    <t>Efectivos 3T 2013</t>
  </si>
  <si>
    <t>Programado 3T 2013</t>
  </si>
  <si>
    <t>Efectivo 3T 2013</t>
  </si>
  <si>
    <t>En transferencias 3T 2013</t>
  </si>
  <si>
    <t>IPC (3T 2013)</t>
  </si>
  <si>
    <t>Gasto efectivo real 3T 2013</t>
  </si>
  <si>
    <t>Gasto efectivo real por beneficiario 3T 2013</t>
  </si>
  <si>
    <t>Indicadores propuestos aplicado a Pacientes en Fase Terminal. Segundo Trimestre 2013</t>
  </si>
  <si>
    <t>Programados 2T 2013</t>
  </si>
  <si>
    <t>Efectivos 2T 2013</t>
  </si>
  <si>
    <t>Programado 2T 2013</t>
  </si>
  <si>
    <t>Efectivo 2T 2013</t>
  </si>
  <si>
    <t>En transferencias 2T 2013</t>
  </si>
  <si>
    <t>IPC (2T 2013)</t>
  </si>
  <si>
    <t>Gasto efectivo real 2T 2013</t>
  </si>
  <si>
    <t>Gasto efectivo real por beneficiario 2T 2013</t>
  </si>
  <si>
    <t>Indicadores propuestos aplicado a Pacientes en Fase Terminal. Primer Trimestre 2013</t>
  </si>
  <si>
    <t>Programados 1T 2013</t>
  </si>
  <si>
    <t>Efectivos 1T 2013</t>
  </si>
  <si>
    <t>Programado 1T 2013</t>
  </si>
  <si>
    <t>Efectivo 1T 2013</t>
  </si>
  <si>
    <t>En transferencias 1T 2013</t>
  </si>
  <si>
    <t>IPC (1T 2013)</t>
  </si>
  <si>
    <t>Gasto efectivo real 1T 2013</t>
  </si>
  <si>
    <t>Gasto efectivo real por beneficiario 1T 2013</t>
  </si>
  <si>
    <t>Informes Trimestrales PFT 2012 y 2013.</t>
  </si>
  <si>
    <t>Gasto mensual efectivo por subsidio</t>
  </si>
  <si>
    <r>
      <t xml:space="preserve">Efectivos 2T 2013 </t>
    </r>
    <r>
      <rPr>
        <i/>
        <sz val="11"/>
        <color theme="1"/>
        <rFont val="Calibri"/>
        <family val="2"/>
        <scheme val="minor"/>
      </rPr>
      <t>(personas)</t>
    </r>
  </si>
  <si>
    <r>
      <t xml:space="preserve">Efectivos 3T 2013 </t>
    </r>
    <r>
      <rPr>
        <i/>
        <sz val="11"/>
        <color theme="1"/>
        <rFont val="Calibri"/>
        <family val="2"/>
        <scheme val="minor"/>
      </rPr>
      <t>(personas)</t>
    </r>
  </si>
  <si>
    <r>
      <t xml:space="preserve">Efectivos 4T 2013 </t>
    </r>
    <r>
      <rPr>
        <i/>
        <sz val="11"/>
        <color theme="1"/>
        <rFont val="Calibri"/>
        <family val="2"/>
        <scheme val="minor"/>
      </rPr>
      <t>(personas)</t>
    </r>
  </si>
  <si>
    <r>
      <t xml:space="preserve">Efectivos 1S 2013 </t>
    </r>
    <r>
      <rPr>
        <i/>
        <sz val="11"/>
        <color theme="1"/>
        <rFont val="Calibri"/>
        <family val="2"/>
        <scheme val="minor"/>
      </rPr>
      <t>(personas)</t>
    </r>
  </si>
  <si>
    <r>
      <t xml:space="preserve">Efectivos 3TA 2013 </t>
    </r>
    <r>
      <rPr>
        <i/>
        <sz val="11"/>
        <color theme="1"/>
        <rFont val="Calibri"/>
        <family val="2"/>
        <scheme val="minor"/>
      </rPr>
      <t>(personas)</t>
    </r>
  </si>
  <si>
    <r>
      <t xml:space="preserve">Efectivos anual 2013 </t>
    </r>
    <r>
      <rPr>
        <i/>
        <sz val="11"/>
        <color theme="1"/>
        <rFont val="Calibri"/>
        <family val="2"/>
        <scheme val="minor"/>
      </rPr>
      <t>(personas)</t>
    </r>
  </si>
  <si>
    <r>
      <t xml:space="preserve">Efectivos 1T 2012 </t>
    </r>
    <r>
      <rPr>
        <i/>
        <sz val="11"/>
        <color theme="1"/>
        <rFont val="Calibri"/>
        <family val="2"/>
        <scheme val="minor"/>
      </rPr>
      <t>(personas)</t>
    </r>
  </si>
  <si>
    <r>
      <t xml:space="preserve">Efectivos 2T 2012 </t>
    </r>
    <r>
      <rPr>
        <i/>
        <sz val="11"/>
        <color theme="1"/>
        <rFont val="Calibri"/>
        <family val="2"/>
        <scheme val="minor"/>
      </rPr>
      <t>(personas)</t>
    </r>
  </si>
  <si>
    <r>
      <t xml:space="preserve">Efectivos 3T 2012 </t>
    </r>
    <r>
      <rPr>
        <i/>
        <sz val="11"/>
        <color theme="1"/>
        <rFont val="Calibri"/>
        <family val="2"/>
        <scheme val="minor"/>
      </rPr>
      <t>(personas)</t>
    </r>
  </si>
  <si>
    <r>
      <t xml:space="preserve">Efectivos 4T 2012 </t>
    </r>
    <r>
      <rPr>
        <i/>
        <sz val="11"/>
        <color theme="1"/>
        <rFont val="Calibri"/>
        <family val="2"/>
        <scheme val="minor"/>
      </rPr>
      <t>(personas)</t>
    </r>
  </si>
  <si>
    <r>
      <t xml:space="preserve">Efectivos 1S 2012 </t>
    </r>
    <r>
      <rPr>
        <i/>
        <sz val="11"/>
        <color theme="1"/>
        <rFont val="Calibri"/>
        <family val="2"/>
        <scheme val="minor"/>
      </rPr>
      <t>(personas)</t>
    </r>
  </si>
  <si>
    <r>
      <t xml:space="preserve">Efectivos 3TA 2012 </t>
    </r>
    <r>
      <rPr>
        <i/>
        <sz val="11"/>
        <color theme="1"/>
        <rFont val="Calibri"/>
        <family val="2"/>
        <scheme val="minor"/>
      </rPr>
      <t>(personas)</t>
    </r>
  </si>
  <si>
    <r>
      <t xml:space="preserve">Efectivos  2012 </t>
    </r>
    <r>
      <rPr>
        <i/>
        <sz val="11"/>
        <color theme="1"/>
        <rFont val="Calibri"/>
        <family val="2"/>
        <scheme val="minor"/>
      </rPr>
      <t>(personas)</t>
    </r>
  </si>
  <si>
    <t>Metas y Modificaciones, DESAF 2013</t>
  </si>
  <si>
    <r>
      <t xml:space="preserve">Programados 1T 2013 </t>
    </r>
    <r>
      <rPr>
        <i/>
        <sz val="11"/>
        <color theme="1"/>
        <rFont val="Calibri"/>
        <family val="2"/>
        <scheme val="minor"/>
      </rPr>
      <t>(personas)</t>
    </r>
  </si>
  <si>
    <r>
      <t xml:space="preserve">Programados 2T 2013 </t>
    </r>
    <r>
      <rPr>
        <i/>
        <sz val="11"/>
        <color theme="1"/>
        <rFont val="Calibri"/>
        <family val="2"/>
        <scheme val="minor"/>
      </rPr>
      <t>(personas)</t>
    </r>
  </si>
  <si>
    <r>
      <t xml:space="preserve">Programados 3T 2013 </t>
    </r>
    <r>
      <rPr>
        <i/>
        <sz val="11"/>
        <color theme="1"/>
        <rFont val="Calibri"/>
        <family val="2"/>
        <scheme val="minor"/>
      </rPr>
      <t>(personas)</t>
    </r>
  </si>
  <si>
    <r>
      <t xml:space="preserve">Programados 4T 2013 </t>
    </r>
    <r>
      <rPr>
        <i/>
        <sz val="11"/>
        <color theme="1"/>
        <rFont val="Calibri"/>
        <family val="2"/>
        <scheme val="minor"/>
      </rPr>
      <t>(personas)</t>
    </r>
  </si>
  <si>
    <r>
      <t xml:space="preserve">Programados 1S 2013 </t>
    </r>
    <r>
      <rPr>
        <i/>
        <sz val="11"/>
        <color theme="1"/>
        <rFont val="Calibri"/>
        <family val="2"/>
        <scheme val="minor"/>
      </rPr>
      <t>(personas)</t>
    </r>
  </si>
  <si>
    <r>
      <t xml:space="preserve">Programados 3TA 2013 </t>
    </r>
    <r>
      <rPr>
        <i/>
        <sz val="11"/>
        <color theme="1"/>
        <rFont val="Calibri"/>
        <family val="2"/>
        <scheme val="minor"/>
      </rPr>
      <t>(personas)</t>
    </r>
  </si>
  <si>
    <r>
      <t xml:space="preserve">Programados  2013 </t>
    </r>
    <r>
      <rPr>
        <i/>
        <sz val="11"/>
        <color theme="1"/>
        <rFont val="Calibri"/>
        <family val="2"/>
        <scheme val="minor"/>
      </rPr>
      <t>(personas)</t>
    </r>
  </si>
  <si>
    <r>
      <t xml:space="preserve">Programados año 2013 </t>
    </r>
    <r>
      <rPr>
        <i/>
        <sz val="11"/>
        <color theme="1"/>
        <rFont val="Calibri"/>
        <family val="2"/>
        <scheme val="minor"/>
      </rPr>
      <t>(personas)</t>
    </r>
  </si>
  <si>
    <t>Fecha de actualización: 28/07/2014</t>
  </si>
  <si>
    <r>
      <t xml:space="preserve">Efectivos 1T 2013 </t>
    </r>
    <r>
      <rPr>
        <i/>
        <sz val="11"/>
        <color theme="1"/>
        <rFont val="Calibri"/>
        <family val="2"/>
        <scheme val="minor"/>
      </rPr>
      <t>(personas)</t>
    </r>
  </si>
  <si>
    <t>Nota: En el mes de setiembre se presenta una disminución respecto del informe a junio por cuanto se realizó ajuste por actualización al estudio de la tarifa que establece el gasto administrativo.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</si>
</sst>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.0"/>
    <numFmt numFmtId="165" formatCode="#,##0.0____"/>
    <numFmt numFmtId="166" formatCode="#,##0.00____"/>
    <numFmt numFmtId="167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8">
    <xf numFmtId="0" fontId="0" fillId="0" borderId="0" xfId="0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left" indent="1"/>
    </xf>
    <xf numFmtId="164" fontId="0" fillId="0" borderId="0" xfId="0" applyNumberFormat="1"/>
    <xf numFmtId="0" fontId="0" fillId="0" borderId="0" xfId="0" applyAlignment="1">
      <alignment horizontal="left"/>
    </xf>
    <xf numFmtId="3" fontId="0" fillId="0" borderId="0" xfId="0" applyNumberFormat="1"/>
    <xf numFmtId="0" fontId="0" fillId="0" borderId="0" xfId="0" applyFill="1" applyAlignment="1">
      <alignment horizontal="left"/>
    </xf>
    <xf numFmtId="3" fontId="0" fillId="0" borderId="0" xfId="0" applyNumberFormat="1" applyFill="1"/>
    <xf numFmtId="0" fontId="0" fillId="0" borderId="0" xfId="0" applyFill="1" applyAlignment="1">
      <alignment horizontal="left" indent="1"/>
    </xf>
    <xf numFmtId="0" fontId="0" fillId="0" borderId="0" xfId="0" applyFill="1"/>
    <xf numFmtId="0" fontId="1" fillId="0" borderId="0" xfId="0" applyFont="1" applyFill="1"/>
    <xf numFmtId="165" fontId="0" fillId="0" borderId="0" xfId="0" applyNumberFormat="1" applyFill="1"/>
    <xf numFmtId="165" fontId="0" fillId="0" borderId="0" xfId="0" applyNumberFormat="1"/>
    <xf numFmtId="166" fontId="0" fillId="0" borderId="0" xfId="0" applyNumberFormat="1" applyFill="1"/>
    <xf numFmtId="0" fontId="0" fillId="0" borderId="3" xfId="0" applyBorder="1"/>
    <xf numFmtId="2" fontId="0" fillId="0" borderId="0" xfId="0" applyNumberFormat="1" applyFill="1"/>
    <xf numFmtId="0" fontId="0" fillId="0" borderId="2" xfId="0" applyBorder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Fill="1"/>
    <xf numFmtId="43" fontId="0" fillId="0" borderId="0" xfId="1" applyFont="1"/>
    <xf numFmtId="167" fontId="0" fillId="0" borderId="0" xfId="1" applyNumberFormat="1" applyFont="1"/>
    <xf numFmtId="1" fontId="0" fillId="0" borderId="0" xfId="0" applyNumberFormat="1"/>
    <xf numFmtId="0" fontId="4" fillId="0" borderId="0" xfId="0" applyFont="1" applyFill="1"/>
    <xf numFmtId="0" fontId="6" fillId="2" borderId="0" xfId="0" applyFont="1" applyFill="1" applyAlignment="1">
      <alignment horizontal="left" indent="4"/>
    </xf>
    <xf numFmtId="3" fontId="0" fillId="2" borderId="0" xfId="0" applyNumberFormat="1" applyFill="1"/>
    <xf numFmtId="164" fontId="0" fillId="2" borderId="0" xfId="0" applyNumberFormat="1" applyFill="1"/>
    <xf numFmtId="0" fontId="0" fillId="2" borderId="0" xfId="0" applyFill="1"/>
    <xf numFmtId="166" fontId="7" fillId="0" borderId="0" xfId="0" applyNumberFormat="1" applyFont="1" applyFill="1"/>
    <xf numFmtId="164" fontId="0" fillId="0" borderId="0" xfId="0" applyNumberFormat="1" applyFill="1"/>
    <xf numFmtId="167" fontId="8" fillId="0" borderId="0" xfId="1" applyNumberFormat="1" applyFont="1" applyFill="1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PFT: Indicadores de Cobertura Potencial 2013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Anual!$A$44</c:f>
              <c:strCache>
                <c:ptCount val="1"/>
                <c:pt idx="0">
                  <c:v>Cobertura Programada</c:v>
                </c:pt>
              </c:strCache>
            </c:strRef>
          </c:tx>
          <c:invertIfNegative val="0"/>
          <c:cat>
            <c:strRef>
              <c:f>Anual!$B$4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Anual!$B$44</c:f>
              <c:numCache>
                <c:formatCode>#,##0.00____</c:formatCode>
                <c:ptCount val="1"/>
                <c:pt idx="0">
                  <c:v>105.68561872909699</c:v>
                </c:pt>
              </c:numCache>
            </c:numRef>
          </c:val>
        </c:ser>
        <c:ser>
          <c:idx val="1"/>
          <c:order val="1"/>
          <c:tx>
            <c:strRef>
              <c:f>Anual!$A$45</c:f>
              <c:strCache>
                <c:ptCount val="1"/>
                <c:pt idx="0">
                  <c:v>Cobertura Efectiva</c:v>
                </c:pt>
              </c:strCache>
            </c:strRef>
          </c:tx>
          <c:invertIfNegative val="0"/>
          <c:cat>
            <c:strRef>
              <c:f>Anual!$B$4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Anual!$B$45</c:f>
              <c:numCache>
                <c:formatCode>#,##0.00____</c:formatCode>
                <c:ptCount val="1"/>
                <c:pt idx="0">
                  <c:v>125.41806020066889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398080056"/>
        <c:axId val="398080448"/>
      </c:barChart>
      <c:catAx>
        <c:axId val="398080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98080448"/>
        <c:crosses val="autoZero"/>
        <c:auto val="1"/>
        <c:lblAlgn val="ctr"/>
        <c:lblOffset val="100"/>
        <c:noMultiLvlLbl val="0"/>
      </c:catAx>
      <c:valAx>
        <c:axId val="398080448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39808005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PFT: Indicadores de Resultado 2013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Anual!$A$48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invertIfNegative val="0"/>
          <c:cat>
            <c:strRef>
              <c:f>(Anual!$B$4,Anual!$C$5,Anual!$D$5,Anual!$E$5)</c:f>
              <c:strCache>
                <c:ptCount val="4"/>
                <c:pt idx="0">
                  <c:v>Total Programa</c:v>
                </c:pt>
                <c:pt idx="1">
                  <c:v>Subsidios</c:v>
                </c:pt>
                <c:pt idx="2">
                  <c:v>Publicidad</c:v>
                </c:pt>
                <c:pt idx="3">
                  <c:v>Administrativo</c:v>
                </c:pt>
              </c:strCache>
            </c:strRef>
          </c:cat>
          <c:val>
            <c:numRef>
              <c:f>Anual!$B$48:$C$48</c:f>
              <c:numCache>
                <c:formatCode>#,##0.0____</c:formatCode>
                <c:ptCount val="2"/>
                <c:pt idx="0">
                  <c:v>118.67088607594938</c:v>
                </c:pt>
                <c:pt idx="1">
                  <c:v>118.67088607594938</c:v>
                </c:pt>
              </c:numCache>
            </c:numRef>
          </c:val>
        </c:ser>
        <c:ser>
          <c:idx val="1"/>
          <c:order val="1"/>
          <c:tx>
            <c:strRef>
              <c:f>Anual!$A$49</c:f>
              <c:strCache>
                <c:ptCount val="1"/>
                <c:pt idx="0">
                  <c:v>Índice efectividad en gasto (IEG) </c:v>
                </c:pt>
              </c:strCache>
            </c:strRef>
          </c:tx>
          <c:invertIfNegative val="0"/>
          <c:cat>
            <c:strRef>
              <c:f>(Anual!$B$4,Anual!$C$5,Anual!$D$5,Anual!$E$5)</c:f>
              <c:strCache>
                <c:ptCount val="4"/>
                <c:pt idx="0">
                  <c:v>Total Programa</c:v>
                </c:pt>
                <c:pt idx="1">
                  <c:v>Subsidios</c:v>
                </c:pt>
                <c:pt idx="2">
                  <c:v>Publicidad</c:v>
                </c:pt>
                <c:pt idx="3">
                  <c:v>Administrativo</c:v>
                </c:pt>
              </c:strCache>
            </c:strRef>
          </c:cat>
          <c:val>
            <c:numRef>
              <c:f>Anual!$B$49:$E$49</c:f>
              <c:numCache>
                <c:formatCode>#,##0.0____</c:formatCode>
                <c:ptCount val="4"/>
                <c:pt idx="0">
                  <c:v>119.78170521628701</c:v>
                </c:pt>
                <c:pt idx="1">
                  <c:v>117.25050066727822</c:v>
                </c:pt>
                <c:pt idx="2">
                  <c:v>0</c:v>
                </c:pt>
                <c:pt idx="3">
                  <c:v>402.46885951666667</c:v>
                </c:pt>
              </c:numCache>
            </c:numRef>
          </c:val>
        </c:ser>
        <c:ser>
          <c:idx val="2"/>
          <c:order val="2"/>
          <c:tx>
            <c:strRef>
              <c:f>Anual!$A$50</c:f>
              <c:strCache>
                <c:ptCount val="1"/>
                <c:pt idx="0">
                  <c:v>Índice efectividad total (IET)</c:v>
                </c:pt>
              </c:strCache>
            </c:strRef>
          </c:tx>
          <c:invertIfNegative val="0"/>
          <c:cat>
            <c:strRef>
              <c:f>(Anual!$B$4,Anual!$C$5,Anual!$D$5,Anual!$E$5)</c:f>
              <c:strCache>
                <c:ptCount val="4"/>
                <c:pt idx="0">
                  <c:v>Total Programa</c:v>
                </c:pt>
                <c:pt idx="1">
                  <c:v>Subsidios</c:v>
                </c:pt>
                <c:pt idx="2">
                  <c:v>Publicidad</c:v>
                </c:pt>
                <c:pt idx="3">
                  <c:v>Administrativo</c:v>
                </c:pt>
              </c:strCache>
            </c:strRef>
          </c:cat>
          <c:val>
            <c:numRef>
              <c:f>Anual!$B$50:$C$50</c:f>
              <c:numCache>
                <c:formatCode>#,##0.0____</c:formatCode>
                <c:ptCount val="2"/>
                <c:pt idx="0">
                  <c:v>119.22629564611819</c:v>
                </c:pt>
                <c:pt idx="1">
                  <c:v>117.9606933716138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398081232"/>
        <c:axId val="398081624"/>
      </c:barChart>
      <c:catAx>
        <c:axId val="398081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98081624"/>
        <c:crosses val="autoZero"/>
        <c:auto val="1"/>
        <c:lblAlgn val="ctr"/>
        <c:lblOffset val="100"/>
        <c:noMultiLvlLbl val="0"/>
      </c:catAx>
      <c:valAx>
        <c:axId val="398081624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39808123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PFT: Indicadores de Avance 2013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Anual!$A$53</c:f>
              <c:strCache>
                <c:ptCount val="1"/>
                <c:pt idx="0">
                  <c:v>Índice avance beneficiarios (IAB) </c:v>
                </c:pt>
              </c:strCache>
            </c:strRef>
          </c:tx>
          <c:invertIfNegative val="0"/>
          <c:cat>
            <c:strRef>
              <c:f>(Anual!$B$4,Anual!$C$5,Anual!$D$5)</c:f>
              <c:strCache>
                <c:ptCount val="3"/>
                <c:pt idx="0">
                  <c:v>Total Programa</c:v>
                </c:pt>
                <c:pt idx="1">
                  <c:v>Subsidios</c:v>
                </c:pt>
                <c:pt idx="2">
                  <c:v>Publicidad</c:v>
                </c:pt>
              </c:strCache>
            </c:strRef>
          </c:cat>
          <c:val>
            <c:numRef>
              <c:f>Anual!$B$53:$C$53</c:f>
              <c:numCache>
                <c:formatCode>#,##0.0____</c:formatCode>
                <c:ptCount val="2"/>
                <c:pt idx="0">
                  <c:v>118.67088607594938</c:v>
                </c:pt>
                <c:pt idx="1">
                  <c:v>118.67088607594938</c:v>
                </c:pt>
              </c:numCache>
            </c:numRef>
          </c:val>
        </c:ser>
        <c:ser>
          <c:idx val="1"/>
          <c:order val="1"/>
          <c:tx>
            <c:strRef>
              <c:f>Anual!$A$54</c:f>
              <c:strCache>
                <c:ptCount val="1"/>
                <c:pt idx="0">
                  <c:v>Índice avance gasto (IAG)</c:v>
                </c:pt>
              </c:strCache>
            </c:strRef>
          </c:tx>
          <c:invertIfNegative val="0"/>
          <c:cat>
            <c:strRef>
              <c:f>(Anual!$B$4,Anual!$C$5,Anual!$D$5)</c:f>
              <c:strCache>
                <c:ptCount val="3"/>
                <c:pt idx="0">
                  <c:v>Total Programa</c:v>
                </c:pt>
                <c:pt idx="1">
                  <c:v>Subsidios</c:v>
                </c:pt>
                <c:pt idx="2">
                  <c:v>Publicidad</c:v>
                </c:pt>
              </c:strCache>
            </c:strRef>
          </c:cat>
          <c:val>
            <c:numRef>
              <c:f>Anual!$B$54:$D$54</c:f>
              <c:numCache>
                <c:formatCode>#,##0.0____</c:formatCode>
                <c:ptCount val="3"/>
                <c:pt idx="0">
                  <c:v>119.78170521628701</c:v>
                </c:pt>
                <c:pt idx="1">
                  <c:v>117.25050066727822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Anual!$A$55</c:f>
              <c:strCache>
                <c:ptCount val="1"/>
                <c:pt idx="0">
                  <c:v>Índice avance total (IAT) </c:v>
                </c:pt>
              </c:strCache>
            </c:strRef>
          </c:tx>
          <c:invertIfNegative val="0"/>
          <c:cat>
            <c:strRef>
              <c:f>(Anual!$B$4,Anual!$C$5,Anual!$D$5)</c:f>
              <c:strCache>
                <c:ptCount val="3"/>
                <c:pt idx="0">
                  <c:v>Total Programa</c:v>
                </c:pt>
                <c:pt idx="1">
                  <c:v>Subsidios</c:v>
                </c:pt>
                <c:pt idx="2">
                  <c:v>Publicidad</c:v>
                </c:pt>
              </c:strCache>
            </c:strRef>
          </c:cat>
          <c:val>
            <c:numRef>
              <c:f>Anual!$B$55:$C$55</c:f>
              <c:numCache>
                <c:formatCode>#,##0.0____</c:formatCode>
                <c:ptCount val="2"/>
                <c:pt idx="0">
                  <c:v>119.22629564611819</c:v>
                </c:pt>
                <c:pt idx="1">
                  <c:v>117.9606933716138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398082408"/>
        <c:axId val="398082800"/>
      </c:barChart>
      <c:catAx>
        <c:axId val="398082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98082800"/>
        <c:crosses val="autoZero"/>
        <c:auto val="1"/>
        <c:lblAlgn val="ctr"/>
        <c:lblOffset val="100"/>
        <c:noMultiLvlLbl val="0"/>
      </c:catAx>
      <c:valAx>
        <c:axId val="398082800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3980824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PFT: Indicadores de Composición y de Giro de Recursos 2013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Anual!$A$58</c:f>
              <c:strCache>
                <c:ptCount val="1"/>
                <c:pt idx="0">
                  <c:v>Índice transferencia efectiva del gasto (ITG)</c:v>
                </c:pt>
              </c:strCache>
            </c:strRef>
          </c:tx>
          <c:invertIfNegative val="0"/>
          <c:cat>
            <c:strRef>
              <c:f>Anual!$B$4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Anual!$B$58</c:f>
              <c:numCache>
                <c:formatCode>#,##0.00____</c:formatCode>
                <c:ptCount val="1"/>
                <c:pt idx="0">
                  <c:v>83.230797229344574</c:v>
                </c:pt>
              </c:numCache>
            </c:numRef>
          </c:val>
        </c:ser>
        <c:ser>
          <c:idx val="1"/>
          <c:order val="1"/>
          <c:tx>
            <c:strRef>
              <c:f>Anual!$A$74</c:f>
              <c:strCache>
                <c:ptCount val="1"/>
                <c:pt idx="0">
                  <c:v>Índice de giro efectivo (IGE)</c:v>
                </c:pt>
              </c:strCache>
            </c:strRef>
          </c:tx>
          <c:invertIfNegative val="0"/>
          <c:cat>
            <c:strRef>
              <c:f>Anual!$B$4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Anual!$B$74</c:f>
              <c:numCache>
                <c:formatCode>#,##0.0____</c:formatCode>
                <c:ptCount val="1"/>
                <c:pt idx="0">
                  <c:v>109.69842542556026</c:v>
                </c:pt>
              </c:numCache>
            </c:numRef>
          </c:val>
        </c:ser>
        <c:ser>
          <c:idx val="2"/>
          <c:order val="2"/>
          <c:tx>
            <c:strRef>
              <c:f>Anual!$A$75</c:f>
              <c:strCache>
                <c:ptCount val="1"/>
                <c:pt idx="0">
                  <c:v>Índice de uso de recursos (IUR) </c:v>
                </c:pt>
              </c:strCache>
            </c:strRef>
          </c:tx>
          <c:invertIfNegative val="0"/>
          <c:cat>
            <c:strRef>
              <c:f>Anual!$B$4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Anual!$B$75</c:f>
              <c:numCache>
                <c:formatCode>#,##0.0____</c:formatCode>
                <c:ptCount val="1"/>
                <c:pt idx="0">
                  <c:v>109.19181816111767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398083584"/>
        <c:axId val="398450216"/>
      </c:barChart>
      <c:catAx>
        <c:axId val="398083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98450216"/>
        <c:crosses val="autoZero"/>
        <c:auto val="1"/>
        <c:lblAlgn val="ctr"/>
        <c:lblOffset val="100"/>
        <c:noMultiLvlLbl val="0"/>
      </c:catAx>
      <c:valAx>
        <c:axId val="398450216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39808358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PFT: Indicadores de Expansión 2013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Anual!$A$61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(Anual!$B$4,Anual!$C$5,Anual!$D$5,Anual!$E$5)</c:f>
              <c:strCache>
                <c:ptCount val="4"/>
                <c:pt idx="0">
                  <c:v>Total Programa</c:v>
                </c:pt>
                <c:pt idx="1">
                  <c:v>Subsidios</c:v>
                </c:pt>
                <c:pt idx="2">
                  <c:v>Publicidad</c:v>
                </c:pt>
                <c:pt idx="3">
                  <c:v>Administrativo</c:v>
                </c:pt>
              </c:strCache>
            </c:strRef>
          </c:cat>
          <c:val>
            <c:numRef>
              <c:f>Anual!$B$61</c:f>
              <c:numCache>
                <c:formatCode>#,##0.0____</c:formatCode>
                <c:ptCount val="1"/>
                <c:pt idx="0">
                  <c:v>0.13351134846462109</c:v>
                </c:pt>
              </c:numCache>
            </c:numRef>
          </c:val>
        </c:ser>
        <c:ser>
          <c:idx val="1"/>
          <c:order val="1"/>
          <c:tx>
            <c:strRef>
              <c:f>Anual!$A$62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(Anual!$B$4,Anual!$C$5,Anual!$D$5,Anual!$E$5)</c:f>
              <c:strCache>
                <c:ptCount val="4"/>
                <c:pt idx="0">
                  <c:v>Total Programa</c:v>
                </c:pt>
                <c:pt idx="1">
                  <c:v>Subsidios</c:v>
                </c:pt>
                <c:pt idx="2">
                  <c:v>Publicidad</c:v>
                </c:pt>
                <c:pt idx="3">
                  <c:v>Administrativo</c:v>
                </c:pt>
              </c:strCache>
            </c:strRef>
          </c:cat>
          <c:val>
            <c:numRef>
              <c:f>Anual!$B$62:$E$62</c:f>
              <c:numCache>
                <c:formatCode>#,##0.0____</c:formatCode>
                <c:ptCount val="4"/>
                <c:pt idx="0">
                  <c:v>13.94867430088318</c:v>
                </c:pt>
                <c:pt idx="1">
                  <c:v>9.38740126640214</c:v>
                </c:pt>
                <c:pt idx="2">
                  <c:v>-100</c:v>
                </c:pt>
                <c:pt idx="3">
                  <c:v>328.57552272106949</c:v>
                </c:pt>
              </c:numCache>
            </c:numRef>
          </c:val>
        </c:ser>
        <c:ser>
          <c:idx val="2"/>
          <c:order val="2"/>
          <c:tx>
            <c:strRef>
              <c:f>Anual!$A$63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(Anual!$B$4,Anual!$C$5,Anual!$D$5,Anual!$E$5)</c:f>
              <c:strCache>
                <c:ptCount val="4"/>
                <c:pt idx="0">
                  <c:v>Total Programa</c:v>
                </c:pt>
                <c:pt idx="1">
                  <c:v>Subsidios</c:v>
                </c:pt>
                <c:pt idx="2">
                  <c:v>Publicidad</c:v>
                </c:pt>
                <c:pt idx="3">
                  <c:v>Administrativo</c:v>
                </c:pt>
              </c:strCache>
            </c:strRef>
          </c:cat>
          <c:val>
            <c:numRef>
              <c:f>Anual!$B$63:$C$63</c:f>
              <c:numCache>
                <c:formatCode>#,##0.0____</c:formatCode>
                <c:ptCount val="2"/>
                <c:pt idx="0">
                  <c:v>13.796742735148682</c:v>
                </c:pt>
                <c:pt idx="1">
                  <c:v>9.2415513980469441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98451000"/>
        <c:axId val="398451392"/>
      </c:barChart>
      <c:catAx>
        <c:axId val="398451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98451392"/>
        <c:crosses val="autoZero"/>
        <c:auto val="1"/>
        <c:lblAlgn val="ctr"/>
        <c:lblOffset val="100"/>
        <c:noMultiLvlLbl val="0"/>
      </c:catAx>
      <c:valAx>
        <c:axId val="398451392"/>
        <c:scaling>
          <c:orientation val="minMax"/>
        </c:scaling>
        <c:delete val="1"/>
        <c:axPos val="l"/>
        <c:numFmt formatCode="#,##0" sourceLinked="0"/>
        <c:majorTickMark val="none"/>
        <c:minorTickMark val="none"/>
        <c:tickLblPos val="none"/>
        <c:crossAx val="39845100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PFT: Indicadores de Gasto Medio 2013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Anual!$A$66</c:f>
              <c:strCache>
                <c:ptCount val="1"/>
                <c:pt idx="0">
                  <c:v>Gasto mensual programado por beneficiario (GPB)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(Anual!$B$4,Anual!$C$5)</c:f>
              <c:strCache>
                <c:ptCount val="2"/>
                <c:pt idx="0">
                  <c:v>Total Programa</c:v>
                </c:pt>
                <c:pt idx="1">
                  <c:v>Subsidios</c:v>
                </c:pt>
              </c:strCache>
            </c:strRef>
          </c:cat>
          <c:val>
            <c:numRef>
              <c:f>Anual!$B$66:$C$66</c:f>
              <c:numCache>
                <c:formatCode>#,##0</c:formatCode>
                <c:ptCount val="2"/>
                <c:pt idx="0">
                  <c:v>634077.42721518991</c:v>
                </c:pt>
                <c:pt idx="1">
                  <c:v>539140.7183544304</c:v>
                </c:pt>
              </c:numCache>
            </c:numRef>
          </c:val>
        </c:ser>
        <c:ser>
          <c:idx val="1"/>
          <c:order val="1"/>
          <c:tx>
            <c:strRef>
              <c:f>Anual!$A$67</c:f>
              <c:strCache>
                <c:ptCount val="1"/>
                <c:pt idx="0">
                  <c:v>Gasto mensual efectivo por beneficiario (GEB)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(Anual!$B$4,Anual!$C$5)</c:f>
              <c:strCache>
                <c:ptCount val="2"/>
                <c:pt idx="0">
                  <c:v>Total Programa</c:v>
                </c:pt>
                <c:pt idx="1">
                  <c:v>Subsidios</c:v>
                </c:pt>
              </c:strCache>
            </c:strRef>
          </c:cat>
          <c:val>
            <c:numRef>
              <c:f>Anual!$B$67:$C$67</c:f>
              <c:numCache>
                <c:formatCode>#,##0</c:formatCode>
                <c:ptCount val="2"/>
                <c:pt idx="0">
                  <c:v>640012.71063555556</c:v>
                </c:pt>
                <c:pt idx="1">
                  <c:v>532687.68143111118</c:v>
                </c:pt>
              </c:numCache>
            </c:numRef>
          </c:val>
        </c:ser>
        <c:ser>
          <c:idx val="2"/>
          <c:order val="2"/>
          <c:tx>
            <c:strRef>
              <c:f>Anual!$A$70</c:f>
              <c:strCache>
                <c:ptCount val="1"/>
                <c:pt idx="0">
                  <c:v>Gasto programado anual por beneficiario (GPB)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(Anual!$B$4,Anual!$C$5)</c:f>
              <c:strCache>
                <c:ptCount val="2"/>
                <c:pt idx="0">
                  <c:v>Total Programa</c:v>
                </c:pt>
                <c:pt idx="1">
                  <c:v>Subsidios</c:v>
                </c:pt>
              </c:strCache>
            </c:strRef>
          </c:cat>
          <c:val>
            <c:numRef>
              <c:f>Anual!$B$70:$C$70</c:f>
              <c:numCache>
                <c:formatCode>#,##0</c:formatCode>
                <c:ptCount val="2"/>
                <c:pt idx="0">
                  <c:v>1902232.2816455697</c:v>
                </c:pt>
                <c:pt idx="1">
                  <c:v>1617422.1550632911</c:v>
                </c:pt>
              </c:numCache>
            </c:numRef>
          </c:val>
        </c:ser>
        <c:ser>
          <c:idx val="3"/>
          <c:order val="3"/>
          <c:tx>
            <c:strRef>
              <c:f>Anual!$A$71</c:f>
              <c:strCache>
                <c:ptCount val="1"/>
                <c:pt idx="0">
                  <c:v>Gasto efectivo anual por beneficiario (GEB)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(Anual!$B$4,Anual!$C$5)</c:f>
              <c:strCache>
                <c:ptCount val="2"/>
                <c:pt idx="0">
                  <c:v>Total Programa</c:v>
                </c:pt>
                <c:pt idx="1">
                  <c:v>Subsidios</c:v>
                </c:pt>
              </c:strCache>
            </c:strRef>
          </c:cat>
          <c:val>
            <c:numRef>
              <c:f>Anual!$B$71:$C$71</c:f>
              <c:numCache>
                <c:formatCode>#,##0</c:formatCode>
                <c:ptCount val="2"/>
                <c:pt idx="0">
                  <c:v>1920038.1319066668</c:v>
                </c:pt>
                <c:pt idx="1">
                  <c:v>1598063.0442933333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15"/>
        <c:axId val="398452176"/>
        <c:axId val="398452568"/>
      </c:barChart>
      <c:catAx>
        <c:axId val="398452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98452568"/>
        <c:crosses val="autoZero"/>
        <c:auto val="1"/>
        <c:lblAlgn val="ctr"/>
        <c:lblOffset val="100"/>
        <c:noMultiLvlLbl val="0"/>
      </c:catAx>
      <c:valAx>
        <c:axId val="39845256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3984521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PFT: Índice de Eficiencia 2013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Anual!$A$69</c:f>
              <c:strCache>
                <c:ptCount val="1"/>
                <c:pt idx="0">
                  <c:v>Índice de eficiencia (IE) </c:v>
                </c:pt>
              </c:strCache>
            </c:strRef>
          </c:tx>
          <c:invertIfNegative val="0"/>
          <c:cat>
            <c:strRef>
              <c:f>(Anual!$B$4:$B$5,Anual!$C$5)</c:f>
              <c:strCache>
                <c:ptCount val="2"/>
                <c:pt idx="0">
                  <c:v>Total Programa</c:v>
                </c:pt>
                <c:pt idx="1">
                  <c:v>Subsidios</c:v>
                </c:pt>
              </c:strCache>
            </c:strRef>
          </c:cat>
          <c:val>
            <c:numRef>
              <c:f>Anual!$B$69:$C$69</c:f>
              <c:numCache>
                <c:formatCode>#,##0</c:formatCode>
                <c:ptCount val="2"/>
                <c:pt idx="0">
                  <c:v>118.12062720538158</c:v>
                </c:pt>
                <c:pt idx="1">
                  <c:v>119.38968213249957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8453352"/>
        <c:axId val="398453744"/>
      </c:barChart>
      <c:catAx>
        <c:axId val="398453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98453744"/>
        <c:crosses val="autoZero"/>
        <c:auto val="1"/>
        <c:lblAlgn val="ctr"/>
        <c:lblOffset val="100"/>
        <c:noMultiLvlLbl val="0"/>
      </c:catAx>
      <c:valAx>
        <c:axId val="39845374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98453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PFT: Indicadores de Giro de Recursos 2013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Anual!$A$74</c:f>
              <c:strCache>
                <c:ptCount val="1"/>
                <c:pt idx="0">
                  <c:v>Índice de giro efectivo (IGE)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Anual!$B$4:$B$5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Anual!$B$74</c:f>
              <c:numCache>
                <c:formatCode>#,##0.0____</c:formatCode>
                <c:ptCount val="1"/>
                <c:pt idx="0">
                  <c:v>109.69842542556026</c:v>
                </c:pt>
              </c:numCache>
            </c:numRef>
          </c:val>
        </c:ser>
        <c:ser>
          <c:idx val="1"/>
          <c:order val="1"/>
          <c:tx>
            <c:strRef>
              <c:f>Anual!$A$75</c:f>
              <c:strCache>
                <c:ptCount val="1"/>
                <c:pt idx="0">
                  <c:v>Índice de uso de recursos (IUR)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Anual!$B$4:$B$5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Anual!$B$75</c:f>
              <c:numCache>
                <c:formatCode>#,##0.0____</c:formatCode>
                <c:ptCount val="1"/>
                <c:pt idx="0">
                  <c:v>109.19181816111767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98282704"/>
        <c:axId val="398283096"/>
      </c:barChart>
      <c:catAx>
        <c:axId val="398282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98283096"/>
        <c:crosses val="autoZero"/>
        <c:auto val="1"/>
        <c:lblAlgn val="ctr"/>
        <c:lblOffset val="100"/>
        <c:noMultiLvlLbl val="0"/>
      </c:catAx>
      <c:valAx>
        <c:axId val="398283096"/>
        <c:scaling>
          <c:orientation val="minMax"/>
          <c:min val="0"/>
        </c:scaling>
        <c:delete val="1"/>
        <c:axPos val="l"/>
        <c:numFmt formatCode="#,##0" sourceLinked="0"/>
        <c:majorTickMark val="none"/>
        <c:minorTickMark val="none"/>
        <c:tickLblPos val="none"/>
        <c:crossAx val="39828270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685799</xdr:colOff>
      <xdr:row>1</xdr:row>
      <xdr:rowOff>176212</xdr:rowOff>
    </xdr:from>
    <xdr:to>
      <xdr:col>11</xdr:col>
      <xdr:colOff>457200</xdr:colOff>
      <xdr:row>17</xdr:row>
      <xdr:rowOff>161925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400050</xdr:colOff>
      <xdr:row>19</xdr:row>
      <xdr:rowOff>80962</xdr:rowOff>
    </xdr:from>
    <xdr:to>
      <xdr:col>12</xdr:col>
      <xdr:colOff>400050</xdr:colOff>
      <xdr:row>33</xdr:row>
      <xdr:rowOff>157162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228600</xdr:colOff>
      <xdr:row>34</xdr:row>
      <xdr:rowOff>23812</xdr:rowOff>
    </xdr:from>
    <xdr:to>
      <xdr:col>14</xdr:col>
      <xdr:colOff>228600</xdr:colOff>
      <xdr:row>48</xdr:row>
      <xdr:rowOff>100012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514350</xdr:colOff>
      <xdr:row>49</xdr:row>
      <xdr:rowOff>52387</xdr:rowOff>
    </xdr:from>
    <xdr:to>
      <xdr:col>11</xdr:col>
      <xdr:colOff>514350</xdr:colOff>
      <xdr:row>63</xdr:row>
      <xdr:rowOff>128587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466724</xdr:colOff>
      <xdr:row>64</xdr:row>
      <xdr:rowOff>138112</xdr:rowOff>
    </xdr:from>
    <xdr:to>
      <xdr:col>12</xdr:col>
      <xdr:colOff>438149</xdr:colOff>
      <xdr:row>80</xdr:row>
      <xdr:rowOff>4762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314325</xdr:colOff>
      <xdr:row>87</xdr:row>
      <xdr:rowOff>147636</xdr:rowOff>
    </xdr:from>
    <xdr:to>
      <xdr:col>10</xdr:col>
      <xdr:colOff>0</xdr:colOff>
      <xdr:row>103</xdr:row>
      <xdr:rowOff>190499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304800</xdr:colOff>
      <xdr:row>86</xdr:row>
      <xdr:rowOff>157162</xdr:rowOff>
    </xdr:from>
    <xdr:to>
      <xdr:col>2</xdr:col>
      <xdr:colOff>123825</xdr:colOff>
      <xdr:row>101</xdr:row>
      <xdr:rowOff>42862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228600</xdr:colOff>
      <xdr:row>81</xdr:row>
      <xdr:rowOff>52387</xdr:rowOff>
    </xdr:from>
    <xdr:to>
      <xdr:col>16</xdr:col>
      <xdr:colOff>228600</xdr:colOff>
      <xdr:row>95</xdr:row>
      <xdr:rowOff>128587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72"/>
  <sheetViews>
    <sheetView topLeftCell="A55" zoomScaleNormal="100" workbookViewId="0">
      <selection activeCell="D148" sqref="D148:H151"/>
    </sheetView>
  </sheetViews>
  <sheetFormatPr baseColWidth="10" defaultColWidth="11.42578125" defaultRowHeight="15" x14ac:dyDescent="0.25"/>
  <cols>
    <col min="1" max="1" width="55.140625" customWidth="1"/>
    <col min="2" max="2" width="16.140625" customWidth="1"/>
    <col min="3" max="3" width="15.5703125" customWidth="1"/>
    <col min="4" max="4" width="14.5703125" customWidth="1"/>
    <col min="5" max="5" width="14" customWidth="1"/>
    <col min="8" max="8" width="15.140625" bestFit="1" customWidth="1"/>
  </cols>
  <sheetData>
    <row r="2" spans="1:11" ht="15.75" x14ac:dyDescent="0.25">
      <c r="A2" s="33" t="s">
        <v>134</v>
      </c>
      <c r="B2" s="33"/>
      <c r="C2" s="33"/>
      <c r="D2" s="33"/>
    </row>
    <row r="4" spans="1:11" x14ac:dyDescent="0.25">
      <c r="A4" s="34" t="s">
        <v>0</v>
      </c>
      <c r="B4" s="1" t="s">
        <v>1</v>
      </c>
      <c r="C4" s="18" t="s">
        <v>2</v>
      </c>
      <c r="D4" s="1" t="s">
        <v>5</v>
      </c>
      <c r="E4" s="1" t="s">
        <v>71</v>
      </c>
    </row>
    <row r="5" spans="1:11" ht="15.75" thickBot="1" x14ac:dyDescent="0.3">
      <c r="A5" s="35"/>
      <c r="B5" s="2" t="s">
        <v>3</v>
      </c>
      <c r="C5" s="2" t="s">
        <v>4</v>
      </c>
      <c r="D5" s="2" t="s">
        <v>41</v>
      </c>
      <c r="E5" s="2" t="s">
        <v>72</v>
      </c>
      <c r="G5" s="25"/>
      <c r="H5" s="11"/>
      <c r="I5" s="11"/>
      <c r="J5" s="11"/>
      <c r="K5" s="11"/>
    </row>
    <row r="6" spans="1:11" ht="15.75" thickTop="1" x14ac:dyDescent="0.25"/>
    <row r="7" spans="1:11" x14ac:dyDescent="0.25">
      <c r="A7" s="3" t="s">
        <v>6</v>
      </c>
    </row>
    <row r="9" spans="1:11" x14ac:dyDescent="0.25">
      <c r="A9" t="s">
        <v>7</v>
      </c>
      <c r="H9" s="22"/>
    </row>
    <row r="10" spans="1:11" x14ac:dyDescent="0.25">
      <c r="A10" s="4" t="s">
        <v>151</v>
      </c>
      <c r="B10" s="7">
        <f t="shared" ref="B10:B17" si="0">C10</f>
        <v>328</v>
      </c>
      <c r="C10" s="7">
        <v>328</v>
      </c>
      <c r="D10" s="5"/>
    </row>
    <row r="11" spans="1:11" x14ac:dyDescent="0.25">
      <c r="A11" s="26" t="s">
        <v>4</v>
      </c>
      <c r="B11" s="27">
        <f t="shared" si="0"/>
        <v>563</v>
      </c>
      <c r="C11" s="27">
        <v>563</v>
      </c>
      <c r="D11" s="28"/>
      <c r="E11" s="29"/>
    </row>
    <row r="12" spans="1:11" x14ac:dyDescent="0.25">
      <c r="A12" s="10" t="s">
        <v>159</v>
      </c>
      <c r="B12" s="9">
        <f t="shared" si="0"/>
        <v>158</v>
      </c>
      <c r="C12" s="9">
        <v>158</v>
      </c>
      <c r="D12" s="31"/>
      <c r="E12" s="11"/>
    </row>
    <row r="13" spans="1:11" x14ac:dyDescent="0.25">
      <c r="A13" s="26" t="s">
        <v>4</v>
      </c>
      <c r="B13" s="27">
        <f t="shared" si="0"/>
        <v>474</v>
      </c>
      <c r="C13" s="27">
        <f>158*3</f>
        <v>474</v>
      </c>
      <c r="D13" s="28"/>
      <c r="E13" s="29"/>
    </row>
    <row r="14" spans="1:11" x14ac:dyDescent="0.25">
      <c r="A14" s="4" t="s">
        <v>168</v>
      </c>
      <c r="B14" s="7">
        <f t="shared" si="0"/>
        <v>293</v>
      </c>
      <c r="C14" s="7">
        <v>293</v>
      </c>
      <c r="D14" s="5"/>
    </row>
    <row r="15" spans="1:11" x14ac:dyDescent="0.25">
      <c r="A15" s="26" t="s">
        <v>4</v>
      </c>
      <c r="B15" s="27">
        <f t="shared" si="0"/>
        <v>538</v>
      </c>
      <c r="C15" s="27">
        <v>538</v>
      </c>
      <c r="D15" s="28"/>
      <c r="E15" s="29"/>
    </row>
    <row r="16" spans="1:11" x14ac:dyDescent="0.25">
      <c r="A16" s="10" t="s">
        <v>166</v>
      </c>
      <c r="B16" s="9">
        <f t="shared" si="0"/>
        <v>632</v>
      </c>
      <c r="C16" s="9">
        <f>158*4</f>
        <v>632</v>
      </c>
      <c r="D16" s="31"/>
      <c r="E16" s="11"/>
    </row>
    <row r="17" spans="1:8" x14ac:dyDescent="0.25">
      <c r="A17" s="26" t="s">
        <v>4</v>
      </c>
      <c r="B17" s="27">
        <f t="shared" si="0"/>
        <v>1896</v>
      </c>
      <c r="C17" s="27">
        <f>158*12</f>
        <v>1896</v>
      </c>
      <c r="D17" s="28"/>
      <c r="E17" s="29"/>
    </row>
    <row r="18" spans="1:8" x14ac:dyDescent="0.25">
      <c r="B18" s="5"/>
      <c r="C18" s="5"/>
      <c r="D18" s="5"/>
    </row>
    <row r="19" spans="1:8" x14ac:dyDescent="0.25">
      <c r="A19" s="6" t="s">
        <v>8</v>
      </c>
      <c r="B19" s="5"/>
      <c r="C19" s="5"/>
      <c r="D19" s="5"/>
    </row>
    <row r="20" spans="1:8" x14ac:dyDescent="0.25">
      <c r="A20" s="4" t="s">
        <v>43</v>
      </c>
      <c r="B20" s="7">
        <f>SUM(C20:E20)</f>
        <v>237596947.40000001</v>
      </c>
      <c r="C20" s="7">
        <v>237396947.40000001</v>
      </c>
      <c r="D20" s="7">
        <v>200000</v>
      </c>
    </row>
    <row r="21" spans="1:8" x14ac:dyDescent="0.25">
      <c r="A21" s="4" t="s">
        <v>137</v>
      </c>
      <c r="B21" s="7">
        <f>SUM(C21:E21)</f>
        <v>300552700.5</v>
      </c>
      <c r="C21" s="23">
        <v>255552700.5</v>
      </c>
      <c r="D21" s="7">
        <f>10000000*3</f>
        <v>30000000</v>
      </c>
      <c r="E21" s="23">
        <f>5000000*3</f>
        <v>15000000</v>
      </c>
    </row>
    <row r="22" spans="1:8" x14ac:dyDescent="0.25">
      <c r="A22" s="4" t="s">
        <v>138</v>
      </c>
      <c r="B22" s="7">
        <f t="shared" ref="B22:B23" si="1">SUM(C22:E22)</f>
        <v>223786416.19</v>
      </c>
      <c r="C22" s="7">
        <v>223786416.19</v>
      </c>
      <c r="D22" s="7">
        <v>0</v>
      </c>
      <c r="E22">
        <v>0</v>
      </c>
    </row>
    <row r="23" spans="1:8" x14ac:dyDescent="0.25">
      <c r="A23" s="4" t="s">
        <v>82</v>
      </c>
      <c r="B23" s="7">
        <f t="shared" si="1"/>
        <v>1202210802</v>
      </c>
      <c r="C23" s="23">
        <v>1022210802</v>
      </c>
      <c r="D23" s="7">
        <v>120000000</v>
      </c>
      <c r="E23" s="7">
        <v>60000000</v>
      </c>
    </row>
    <row r="24" spans="1:8" x14ac:dyDescent="0.25">
      <c r="A24" s="4" t="s">
        <v>139</v>
      </c>
      <c r="B24" s="7">
        <f>C24</f>
        <v>223786416.19</v>
      </c>
      <c r="C24" s="7">
        <f>C22</f>
        <v>223786416.19</v>
      </c>
      <c r="D24" s="7"/>
    </row>
    <row r="25" spans="1:8" x14ac:dyDescent="0.25">
      <c r="B25" s="7"/>
      <c r="C25" s="7"/>
      <c r="D25" s="7"/>
      <c r="H25" s="7"/>
    </row>
    <row r="26" spans="1:8" x14ac:dyDescent="0.25">
      <c r="A26" s="8" t="s">
        <v>9</v>
      </c>
      <c r="B26" s="9"/>
      <c r="C26" s="9"/>
      <c r="D26" s="9"/>
    </row>
    <row r="27" spans="1:8" x14ac:dyDescent="0.25">
      <c r="A27" s="10" t="s">
        <v>135</v>
      </c>
      <c r="B27" s="9">
        <f>B21</f>
        <v>300552700.5</v>
      </c>
      <c r="C27" s="9"/>
      <c r="D27" s="9"/>
    </row>
    <row r="28" spans="1:8" x14ac:dyDescent="0.25">
      <c r="A28" s="10" t="s">
        <v>136</v>
      </c>
      <c r="B28" s="9">
        <v>210411328.59</v>
      </c>
      <c r="C28" s="9"/>
      <c r="D28" s="9"/>
    </row>
    <row r="29" spans="1:8" x14ac:dyDescent="0.25">
      <c r="A29" s="11"/>
      <c r="B29" s="11"/>
      <c r="C29" s="11"/>
      <c r="D29" s="11"/>
    </row>
    <row r="30" spans="1:8" x14ac:dyDescent="0.25">
      <c r="A30" s="11" t="s">
        <v>10</v>
      </c>
      <c r="B30" s="11"/>
      <c r="C30" s="11"/>
      <c r="D30" s="11"/>
    </row>
    <row r="31" spans="1:8" x14ac:dyDescent="0.25">
      <c r="A31" s="10" t="s">
        <v>44</v>
      </c>
      <c r="B31" s="17">
        <v>1.5037478319333335</v>
      </c>
      <c r="C31" s="17">
        <v>1.5037478319333335</v>
      </c>
      <c r="D31" s="17">
        <v>1.5037478319333335</v>
      </c>
      <c r="E31" s="17">
        <v>1.5037478319333335</v>
      </c>
    </row>
    <row r="32" spans="1:8" x14ac:dyDescent="0.25">
      <c r="A32" s="10" t="s">
        <v>140</v>
      </c>
      <c r="B32" s="17">
        <v>1.5969752303666667</v>
      </c>
      <c r="C32" s="17">
        <v>1.5969752303666667</v>
      </c>
      <c r="D32" s="17">
        <v>1.5969752303666667</v>
      </c>
      <c r="E32" s="17">
        <v>1.5969752303666667</v>
      </c>
    </row>
    <row r="33" spans="1:8" x14ac:dyDescent="0.25">
      <c r="A33" s="10" t="s">
        <v>11</v>
      </c>
      <c r="B33" s="9">
        <v>598</v>
      </c>
      <c r="C33" s="9"/>
      <c r="D33" s="9"/>
    </row>
    <row r="34" spans="1:8" x14ac:dyDescent="0.25">
      <c r="A34" s="11"/>
      <c r="B34" s="11"/>
      <c r="C34" s="11"/>
      <c r="D34" s="11"/>
    </row>
    <row r="35" spans="1:8" x14ac:dyDescent="0.25">
      <c r="A35" s="12" t="s">
        <v>12</v>
      </c>
      <c r="B35" s="11"/>
      <c r="C35" s="11"/>
      <c r="D35" s="11"/>
    </row>
    <row r="36" spans="1:8" x14ac:dyDescent="0.25">
      <c r="A36" s="11" t="s">
        <v>45</v>
      </c>
      <c r="B36" s="9">
        <f>B20/B31</f>
        <v>158003185.34426558</v>
      </c>
      <c r="C36" s="9">
        <f>C20/C31</f>
        <v>157870184.32125303</v>
      </c>
      <c r="D36" s="9">
        <f t="shared" ref="D36:E36" si="2">D20/D31</f>
        <v>133001.02301252508</v>
      </c>
      <c r="E36" s="9">
        <f t="shared" si="2"/>
        <v>0</v>
      </c>
    </row>
    <row r="37" spans="1:8" x14ac:dyDescent="0.25">
      <c r="A37" s="11" t="s">
        <v>141</v>
      </c>
      <c r="B37" s="9">
        <f>B22/B32</f>
        <v>140131425.91987383</v>
      </c>
      <c r="C37" s="9">
        <f>C22/C32</f>
        <v>140131425.91987383</v>
      </c>
      <c r="D37" s="9">
        <f t="shared" ref="D37:E37" si="3">D22/D32</f>
        <v>0</v>
      </c>
      <c r="E37" s="9">
        <f t="shared" si="3"/>
        <v>0</v>
      </c>
    </row>
    <row r="38" spans="1:8" x14ac:dyDescent="0.25">
      <c r="A38" s="11" t="s">
        <v>46</v>
      </c>
      <c r="B38" s="9">
        <f>B36/B10</f>
        <v>481717.0284886146</v>
      </c>
      <c r="C38" s="9">
        <f>C36/$C10</f>
        <v>481311.53756479581</v>
      </c>
      <c r="D38" s="9">
        <f t="shared" ref="D38:E38" si="4">D36/$C10</f>
        <v>405.49092381867405</v>
      </c>
      <c r="E38" s="9">
        <f t="shared" si="4"/>
        <v>0</v>
      </c>
    </row>
    <row r="39" spans="1:8" x14ac:dyDescent="0.25">
      <c r="A39" s="11" t="s">
        <v>142</v>
      </c>
      <c r="B39" s="9">
        <f>B37/B14</f>
        <v>478264.25228625879</v>
      </c>
      <c r="C39" s="9">
        <f>C37/$C14</f>
        <v>478264.25228625879</v>
      </c>
      <c r="D39" s="9">
        <f t="shared" ref="D39:E39" si="5">D37/$C14</f>
        <v>0</v>
      </c>
      <c r="E39" s="9">
        <f t="shared" si="5"/>
        <v>0</v>
      </c>
    </row>
    <row r="41" spans="1:8" x14ac:dyDescent="0.25">
      <c r="A41" s="3" t="s">
        <v>13</v>
      </c>
    </row>
    <row r="43" spans="1:8" x14ac:dyDescent="0.25">
      <c r="A43" t="s">
        <v>14</v>
      </c>
    </row>
    <row r="44" spans="1:8" x14ac:dyDescent="0.25">
      <c r="A44" t="s">
        <v>15</v>
      </c>
      <c r="B44" s="30">
        <f>(B12/B33)*100</f>
        <v>26.421404682274247</v>
      </c>
      <c r="C44" s="15"/>
      <c r="D44" s="13"/>
      <c r="E44" s="11"/>
      <c r="F44" s="11"/>
      <c r="G44" s="11"/>
      <c r="H44" s="11"/>
    </row>
    <row r="45" spans="1:8" x14ac:dyDescent="0.25">
      <c r="A45" t="s">
        <v>16</v>
      </c>
      <c r="B45" s="15">
        <f>(B14*100)/(B33)</f>
        <v>48.996655518394647</v>
      </c>
      <c r="C45" s="15"/>
      <c r="D45" s="13"/>
    </row>
    <row r="47" spans="1:8" x14ac:dyDescent="0.25">
      <c r="A47" t="s">
        <v>17</v>
      </c>
    </row>
    <row r="48" spans="1:8" x14ac:dyDescent="0.25">
      <c r="A48" t="s">
        <v>18</v>
      </c>
      <c r="B48" s="14">
        <f>(B14/B12)*100</f>
        <v>185.44303797468353</v>
      </c>
      <c r="C48" s="14">
        <f>(C14/C12)*100</f>
        <v>185.44303797468353</v>
      </c>
      <c r="D48" s="14"/>
    </row>
    <row r="49" spans="1:5" x14ac:dyDescent="0.25">
      <c r="A49" t="s">
        <v>19</v>
      </c>
      <c r="B49" s="14">
        <f>B22/B21*100</f>
        <v>74.458294940524084</v>
      </c>
      <c r="C49" s="14">
        <f>C22/C21*100</f>
        <v>87.569575963060501</v>
      </c>
      <c r="D49" s="14">
        <f>D22/D21*100</f>
        <v>0</v>
      </c>
      <c r="E49" s="14">
        <f>E22/E21*100</f>
        <v>0</v>
      </c>
    </row>
    <row r="50" spans="1:5" x14ac:dyDescent="0.25">
      <c r="A50" s="11" t="s">
        <v>20</v>
      </c>
      <c r="B50" s="13">
        <f>AVERAGE(B48:B49)</f>
        <v>129.9506664576038</v>
      </c>
      <c r="C50" s="13">
        <f>AVERAGE(C48:C49)</f>
        <v>136.50630696887202</v>
      </c>
      <c r="D50" s="13"/>
    </row>
    <row r="51" spans="1:5" x14ac:dyDescent="0.25">
      <c r="A51" s="11"/>
      <c r="B51" s="13"/>
      <c r="C51" s="13"/>
      <c r="D51" s="13"/>
    </row>
    <row r="52" spans="1:5" x14ac:dyDescent="0.25">
      <c r="A52" s="11" t="s">
        <v>21</v>
      </c>
      <c r="B52" s="11"/>
      <c r="C52" s="11"/>
      <c r="D52" s="11"/>
    </row>
    <row r="53" spans="1:5" x14ac:dyDescent="0.25">
      <c r="A53" s="11" t="s">
        <v>22</v>
      </c>
      <c r="B53" s="13">
        <f>(B14/B16)*100</f>
        <v>46.360759493670884</v>
      </c>
      <c r="C53" s="13">
        <f>(C14/C16)*100</f>
        <v>46.360759493670884</v>
      </c>
      <c r="D53" s="13"/>
    </row>
    <row r="54" spans="1:5" x14ac:dyDescent="0.25">
      <c r="A54" s="11" t="s">
        <v>23</v>
      </c>
      <c r="B54" s="13">
        <f>B22/B23*100</f>
        <v>18.614573735131021</v>
      </c>
      <c r="C54" s="13">
        <f>C22/C23*100</f>
        <v>21.892393990765125</v>
      </c>
      <c r="D54" s="13">
        <f>D22/D23*100</f>
        <v>0</v>
      </c>
      <c r="E54" s="13">
        <f>E22/E23*100</f>
        <v>0</v>
      </c>
    </row>
    <row r="55" spans="1:5" x14ac:dyDescent="0.25">
      <c r="A55" s="11" t="s">
        <v>24</v>
      </c>
      <c r="B55" s="13">
        <f>(B53+B54)/2</f>
        <v>32.48766661440095</v>
      </c>
      <c r="C55" s="13">
        <f>(C53+C54)/2</f>
        <v>34.126576742218006</v>
      </c>
      <c r="D55" s="13"/>
    </row>
    <row r="56" spans="1:5" x14ac:dyDescent="0.25">
      <c r="A56" s="11"/>
      <c r="B56" s="11"/>
      <c r="C56" s="11"/>
      <c r="D56" s="11"/>
    </row>
    <row r="57" spans="1:5" x14ac:dyDescent="0.25">
      <c r="A57" s="11" t="s">
        <v>36</v>
      </c>
      <c r="B57" s="11"/>
      <c r="C57" s="11"/>
      <c r="D57" s="11"/>
    </row>
    <row r="58" spans="1:5" x14ac:dyDescent="0.25">
      <c r="A58" s="11" t="s">
        <v>25</v>
      </c>
      <c r="B58" s="15">
        <f>(B24/B22)*100</f>
        <v>100</v>
      </c>
      <c r="C58" s="13"/>
      <c r="D58" s="13"/>
    </row>
    <row r="59" spans="1:5" x14ac:dyDescent="0.25">
      <c r="A59" s="11"/>
      <c r="B59" s="11"/>
      <c r="C59" s="11"/>
      <c r="D59" s="11"/>
    </row>
    <row r="60" spans="1:5" x14ac:dyDescent="0.25">
      <c r="A60" s="11" t="s">
        <v>26</v>
      </c>
      <c r="B60" s="11"/>
      <c r="C60" s="11"/>
      <c r="D60" s="11"/>
    </row>
    <row r="61" spans="1:5" x14ac:dyDescent="0.25">
      <c r="A61" s="11" t="s">
        <v>27</v>
      </c>
      <c r="B61" s="14">
        <f>((B14/B10)-1)*100</f>
        <v>-10.670731707317071</v>
      </c>
      <c r="C61" s="14">
        <f>((C14/C10)-1)*100</f>
        <v>-10.670731707317071</v>
      </c>
      <c r="D61" s="13"/>
    </row>
    <row r="62" spans="1:5" x14ac:dyDescent="0.25">
      <c r="A62" s="11" t="s">
        <v>28</v>
      </c>
      <c r="B62" s="14">
        <f>((B37/B36)-1)*100</f>
        <v>-11.311012107415319</v>
      </c>
      <c r="C62" s="14">
        <f>((C37/C36)-1)*100</f>
        <v>-11.236294223412235</v>
      </c>
      <c r="D62" s="14">
        <f t="shared" ref="D62:E62" si="6">((D37/D36)-1)*100</f>
        <v>-100</v>
      </c>
      <c r="E62" s="14" t="e">
        <f t="shared" si="6"/>
        <v>#DIV/0!</v>
      </c>
    </row>
    <row r="63" spans="1:5" x14ac:dyDescent="0.25">
      <c r="A63" s="11" t="s">
        <v>29</v>
      </c>
      <c r="B63" s="14">
        <f>((B39/B38)-1)*100</f>
        <v>-0.71676440693593246</v>
      </c>
      <c r="C63" s="14">
        <f>((C39/C38)-1)*100</f>
        <v>-0.63312117842734272</v>
      </c>
      <c r="D63" s="13"/>
    </row>
    <row r="64" spans="1:5" x14ac:dyDescent="0.25">
      <c r="A64" s="11"/>
      <c r="B64" s="13"/>
      <c r="C64" s="13"/>
      <c r="D64" s="13"/>
    </row>
    <row r="65" spans="1:5" x14ac:dyDescent="0.25">
      <c r="A65" s="11" t="s">
        <v>30</v>
      </c>
      <c r="B65" s="11"/>
      <c r="C65" s="11"/>
      <c r="D65" s="11"/>
    </row>
    <row r="66" spans="1:5" x14ac:dyDescent="0.25">
      <c r="A66" t="s">
        <v>37</v>
      </c>
      <c r="B66" s="9">
        <f>B21/(B12*3)</f>
        <v>634077.42721518991</v>
      </c>
      <c r="C66" s="9">
        <f>C21/(C12*3)</f>
        <v>539140.7183544304</v>
      </c>
      <c r="D66" s="9"/>
    </row>
    <row r="67" spans="1:5" x14ac:dyDescent="0.25">
      <c r="A67" t="s">
        <v>38</v>
      </c>
      <c r="B67" s="9">
        <f>B22/(B14*3)</f>
        <v>254592.05482366326</v>
      </c>
      <c r="C67" s="9">
        <f>C22/(C14*3)</f>
        <v>254592.05482366326</v>
      </c>
      <c r="D67" s="9"/>
    </row>
    <row r="68" spans="1:5" x14ac:dyDescent="0.25">
      <c r="A68" t="s">
        <v>144</v>
      </c>
      <c r="B68" s="9"/>
      <c r="C68" s="9">
        <f>C22/C15</f>
        <v>415959.88139405206</v>
      </c>
      <c r="D68" s="9"/>
    </row>
    <row r="69" spans="1:5" x14ac:dyDescent="0.25">
      <c r="A69" s="11" t="s">
        <v>31</v>
      </c>
      <c r="B69" s="9">
        <f>(B66/B67)*B50</f>
        <v>323.65025809390687</v>
      </c>
      <c r="C69" s="9">
        <f>(C66/C67)*C50</f>
        <v>289.07464708622791</v>
      </c>
      <c r="D69" s="13"/>
    </row>
    <row r="70" spans="1:5" x14ac:dyDescent="0.25">
      <c r="A70" s="13" t="s">
        <v>39</v>
      </c>
      <c r="B70" s="9">
        <f>B21/B12</f>
        <v>1902232.2816455697</v>
      </c>
      <c r="C70" s="9">
        <f>C21/C12</f>
        <v>1617422.1550632911</v>
      </c>
      <c r="D70" s="13"/>
    </row>
    <row r="71" spans="1:5" x14ac:dyDescent="0.25">
      <c r="A71" s="13" t="s">
        <v>40</v>
      </c>
      <c r="B71" s="9">
        <f>B22/(B14)</f>
        <v>763776.16447098972</v>
      </c>
      <c r="C71" s="9">
        <f>C22/(C14)</f>
        <v>763776.16447098972</v>
      </c>
      <c r="D71" s="13"/>
    </row>
    <row r="72" spans="1:5" x14ac:dyDescent="0.25">
      <c r="B72" s="9"/>
      <c r="C72" s="9"/>
      <c r="D72" s="14"/>
    </row>
    <row r="73" spans="1:5" x14ac:dyDescent="0.25">
      <c r="A73" t="s">
        <v>32</v>
      </c>
      <c r="B73" s="14"/>
      <c r="C73" s="14"/>
      <c r="D73" s="14"/>
    </row>
    <row r="74" spans="1:5" x14ac:dyDescent="0.25">
      <c r="A74" s="11" t="s">
        <v>33</v>
      </c>
      <c r="B74" s="13">
        <f>(B28/B27)*100</f>
        <v>70.008131099790276</v>
      </c>
      <c r="C74" s="13"/>
      <c r="D74" s="13"/>
    </row>
    <row r="75" spans="1:5" x14ac:dyDescent="0.25">
      <c r="A75" s="11" t="s">
        <v>34</v>
      </c>
      <c r="B75" s="13">
        <f>(B22/B28)*100</f>
        <v>106.35663853730148</v>
      </c>
      <c r="C75" s="13"/>
      <c r="D75" s="13"/>
    </row>
    <row r="76" spans="1:5" ht="15.75" thickBot="1" x14ac:dyDescent="0.3">
      <c r="A76" s="16"/>
      <c r="B76" s="16"/>
      <c r="C76" s="16"/>
      <c r="D76" s="16"/>
      <c r="E76" s="16"/>
    </row>
    <row r="77" spans="1:5" ht="15.75" thickTop="1" x14ac:dyDescent="0.25"/>
    <row r="78" spans="1:5" x14ac:dyDescent="0.25">
      <c r="A78" t="s">
        <v>35</v>
      </c>
    </row>
    <row r="79" spans="1:5" x14ac:dyDescent="0.25">
      <c r="A79" t="s">
        <v>143</v>
      </c>
    </row>
    <row r="80" spans="1:5" x14ac:dyDescent="0.25">
      <c r="A80" t="s">
        <v>158</v>
      </c>
    </row>
    <row r="81" spans="1:4" x14ac:dyDescent="0.25">
      <c r="B81" s="5"/>
      <c r="C81" s="5"/>
      <c r="D81" s="5"/>
    </row>
    <row r="82" spans="1:4" x14ac:dyDescent="0.25">
      <c r="A82" t="s">
        <v>167</v>
      </c>
    </row>
    <row r="84" spans="1:4" x14ac:dyDescent="0.25">
      <c r="A84" s="20"/>
    </row>
    <row r="85" spans="1:4" s="11" customFormat="1" x14ac:dyDescent="0.25">
      <c r="A85" s="21"/>
    </row>
    <row r="86" spans="1:4" s="11" customFormat="1" x14ac:dyDescent="0.25">
      <c r="A86" s="21"/>
    </row>
    <row r="87" spans="1:4" s="11" customFormat="1" x14ac:dyDescent="0.25"/>
    <row r="88" spans="1:4" s="11" customFormat="1" x14ac:dyDescent="0.25"/>
    <row r="149" spans="5:8" x14ac:dyDescent="0.25">
      <c r="E149" s="24"/>
      <c r="F149" s="24"/>
      <c r="G149" s="24"/>
      <c r="H149" s="24"/>
    </row>
    <row r="150" spans="5:8" x14ac:dyDescent="0.25">
      <c r="E150" s="24"/>
      <c r="F150" s="24"/>
      <c r="G150" s="24"/>
      <c r="H150" s="24"/>
    </row>
    <row r="172" spans="6:6" x14ac:dyDescent="0.25">
      <c r="F172">
        <f>500-80-80-50</f>
        <v>290</v>
      </c>
    </row>
  </sheetData>
  <mergeCells count="2">
    <mergeCell ref="A2:D2"/>
    <mergeCell ref="A4:A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6"/>
  <sheetViews>
    <sheetView workbookViewId="0">
      <selection activeCell="C49" sqref="C49"/>
    </sheetView>
  </sheetViews>
  <sheetFormatPr baseColWidth="10" defaultColWidth="11.42578125" defaultRowHeight="15" x14ac:dyDescent="0.25"/>
  <cols>
    <col min="1" max="1" width="55.140625" customWidth="1"/>
    <col min="2" max="2" width="16.140625" customWidth="1"/>
    <col min="3" max="3" width="15.5703125" customWidth="1"/>
    <col min="4" max="4" width="14.5703125" customWidth="1"/>
    <col min="5" max="5" width="15.140625" bestFit="1" customWidth="1"/>
  </cols>
  <sheetData>
    <row r="2" spans="1:5" ht="15.75" x14ac:dyDescent="0.25">
      <c r="A2" s="33" t="s">
        <v>125</v>
      </c>
      <c r="B2" s="33"/>
      <c r="C2" s="33"/>
      <c r="D2" s="33"/>
    </row>
    <row r="4" spans="1:5" x14ac:dyDescent="0.25">
      <c r="A4" s="34" t="s">
        <v>0</v>
      </c>
      <c r="B4" s="1" t="s">
        <v>1</v>
      </c>
      <c r="C4" s="18" t="s">
        <v>2</v>
      </c>
      <c r="D4" s="1" t="s">
        <v>5</v>
      </c>
      <c r="E4" s="1" t="s">
        <v>71</v>
      </c>
    </row>
    <row r="5" spans="1:5" ht="15.75" thickBot="1" x14ac:dyDescent="0.3">
      <c r="A5" s="35"/>
      <c r="B5" s="2" t="s">
        <v>3</v>
      </c>
      <c r="C5" s="2" t="s">
        <v>4</v>
      </c>
      <c r="D5" s="2" t="s">
        <v>41</v>
      </c>
      <c r="E5" s="2" t="s">
        <v>72</v>
      </c>
    </row>
    <row r="6" spans="1:5" ht="15.75" thickTop="1" x14ac:dyDescent="0.25"/>
    <row r="7" spans="1:5" x14ac:dyDescent="0.25">
      <c r="A7" s="3" t="s">
        <v>6</v>
      </c>
    </row>
    <row r="9" spans="1:5" x14ac:dyDescent="0.25">
      <c r="A9" t="s">
        <v>7</v>
      </c>
    </row>
    <row r="10" spans="1:5" x14ac:dyDescent="0.25">
      <c r="A10" s="4" t="s">
        <v>152</v>
      </c>
      <c r="B10" s="7">
        <f>C10</f>
        <v>304</v>
      </c>
      <c r="C10" s="7">
        <v>304</v>
      </c>
      <c r="D10" s="5"/>
    </row>
    <row r="11" spans="1:5" x14ac:dyDescent="0.25">
      <c r="A11" s="26" t="s">
        <v>4</v>
      </c>
      <c r="B11" s="27">
        <v>563</v>
      </c>
      <c r="C11" s="27">
        <v>563</v>
      </c>
      <c r="D11" s="28"/>
      <c r="E11" s="29"/>
    </row>
    <row r="12" spans="1:5" x14ac:dyDescent="0.25">
      <c r="A12" s="10" t="s">
        <v>160</v>
      </c>
      <c r="B12" s="9">
        <f>C12</f>
        <v>158</v>
      </c>
      <c r="C12" s="9">
        <v>158</v>
      </c>
      <c r="D12" s="31"/>
      <c r="E12" s="11"/>
    </row>
    <row r="13" spans="1:5" x14ac:dyDescent="0.25">
      <c r="A13" s="26" t="s">
        <v>4</v>
      </c>
      <c r="B13" s="27">
        <f>C13</f>
        <v>474</v>
      </c>
      <c r="C13" s="27">
        <f>158*3</f>
        <v>474</v>
      </c>
      <c r="D13" s="28"/>
      <c r="E13" s="29"/>
    </row>
    <row r="14" spans="1:5" x14ac:dyDescent="0.25">
      <c r="A14" s="4" t="s">
        <v>145</v>
      </c>
      <c r="B14" s="7">
        <f>C14</f>
        <v>312</v>
      </c>
      <c r="C14" s="7">
        <v>312</v>
      </c>
      <c r="D14" s="5"/>
    </row>
    <row r="15" spans="1:5" x14ac:dyDescent="0.25">
      <c r="A15" s="26" t="s">
        <v>4</v>
      </c>
      <c r="B15" s="27">
        <f>C15</f>
        <v>602</v>
      </c>
      <c r="C15" s="27">
        <v>602</v>
      </c>
      <c r="D15" s="28"/>
      <c r="E15" s="29"/>
    </row>
    <row r="16" spans="1:5" x14ac:dyDescent="0.25">
      <c r="A16" s="10" t="s">
        <v>166</v>
      </c>
      <c r="B16" s="9">
        <f t="shared" ref="B16:B17" si="0">C16</f>
        <v>632</v>
      </c>
      <c r="C16" s="9">
        <f>158*4</f>
        <v>632</v>
      </c>
      <c r="D16" s="31"/>
      <c r="E16" s="11"/>
    </row>
    <row r="17" spans="1:5" x14ac:dyDescent="0.25">
      <c r="A17" s="26" t="s">
        <v>4</v>
      </c>
      <c r="B17" s="27">
        <f t="shared" si="0"/>
        <v>1896</v>
      </c>
      <c r="C17" s="27">
        <f>158*12</f>
        <v>1896</v>
      </c>
      <c r="D17" s="28"/>
      <c r="E17" s="29"/>
    </row>
    <row r="18" spans="1:5" x14ac:dyDescent="0.25">
      <c r="B18" s="5"/>
      <c r="C18" s="5"/>
      <c r="D18" s="5"/>
    </row>
    <row r="19" spans="1:5" x14ac:dyDescent="0.25">
      <c r="A19" s="6" t="s">
        <v>8</v>
      </c>
      <c r="B19" s="5"/>
      <c r="C19" s="5"/>
      <c r="D19" s="5"/>
    </row>
    <row r="20" spans="1:5" x14ac:dyDescent="0.25">
      <c r="A20" s="4" t="s">
        <v>47</v>
      </c>
      <c r="B20" s="7">
        <f>SUM(C20:E20)</f>
        <v>269309446.87</v>
      </c>
      <c r="C20" s="7">
        <v>269309446.87</v>
      </c>
      <c r="D20" s="7">
        <v>0</v>
      </c>
      <c r="E20">
        <v>0</v>
      </c>
    </row>
    <row r="21" spans="1:5" x14ac:dyDescent="0.25">
      <c r="A21" s="4" t="s">
        <v>128</v>
      </c>
      <c r="B21" s="7">
        <f>SUM(C21:E21)</f>
        <v>300552700.5</v>
      </c>
      <c r="C21" s="23">
        <v>255552700.5</v>
      </c>
      <c r="D21" s="7">
        <f>10000000*3</f>
        <v>30000000</v>
      </c>
      <c r="E21" s="23">
        <f>5000000*3</f>
        <v>15000000</v>
      </c>
    </row>
    <row r="22" spans="1:5" x14ac:dyDescent="0.25">
      <c r="A22" s="4" t="s">
        <v>129</v>
      </c>
      <c r="B22" s="7">
        <f t="shared" ref="B22:B23" si="1">SUM(C22:E22)</f>
        <v>437131657.04000002</v>
      </c>
      <c r="C22" s="7">
        <v>315378486.59000003</v>
      </c>
      <c r="D22" s="7">
        <v>0</v>
      </c>
      <c r="E22" s="23">
        <v>121753170.45</v>
      </c>
    </row>
    <row r="23" spans="1:5" x14ac:dyDescent="0.25">
      <c r="A23" s="4" t="s">
        <v>82</v>
      </c>
      <c r="B23" s="7">
        <f t="shared" si="1"/>
        <v>1202210802</v>
      </c>
      <c r="C23" s="23">
        <v>1022210802</v>
      </c>
      <c r="D23" s="7">
        <v>120000000</v>
      </c>
      <c r="E23" s="7">
        <v>60000000</v>
      </c>
    </row>
    <row r="24" spans="1:5" x14ac:dyDescent="0.25">
      <c r="A24" s="4" t="s">
        <v>130</v>
      </c>
      <c r="B24" s="7">
        <f>C24</f>
        <v>315378486.59000003</v>
      </c>
      <c r="C24" s="7">
        <f>C22</f>
        <v>315378486.59000003</v>
      </c>
      <c r="D24" s="7"/>
    </row>
    <row r="25" spans="1:5" x14ac:dyDescent="0.25">
      <c r="B25" s="7"/>
      <c r="C25" s="7"/>
      <c r="D25" s="7"/>
    </row>
    <row r="26" spans="1:5" x14ac:dyDescent="0.25">
      <c r="A26" s="8" t="s">
        <v>9</v>
      </c>
      <c r="B26" s="9"/>
      <c r="C26" s="9"/>
      <c r="D26" s="9"/>
    </row>
    <row r="27" spans="1:5" x14ac:dyDescent="0.25">
      <c r="A27" s="10" t="s">
        <v>126</v>
      </c>
      <c r="B27" s="9">
        <f>B21</f>
        <v>300552700.5</v>
      </c>
      <c r="C27" s="9"/>
      <c r="D27" s="9"/>
    </row>
    <row r="28" spans="1:5" x14ac:dyDescent="0.25">
      <c r="A28" s="10" t="s">
        <v>127</v>
      </c>
      <c r="B28" s="9">
        <v>392222476.03999996</v>
      </c>
      <c r="C28" s="9"/>
      <c r="D28" s="9"/>
    </row>
    <row r="29" spans="1:5" x14ac:dyDescent="0.25">
      <c r="A29" s="11"/>
      <c r="B29" s="11"/>
      <c r="C29" s="11"/>
      <c r="D29" s="11"/>
    </row>
    <row r="30" spans="1:5" x14ac:dyDescent="0.25">
      <c r="A30" s="11" t="s">
        <v>10</v>
      </c>
      <c r="B30" s="11"/>
      <c r="C30" s="11"/>
      <c r="D30" s="11"/>
    </row>
    <row r="31" spans="1:5" x14ac:dyDescent="0.25">
      <c r="A31" s="10" t="s">
        <v>48</v>
      </c>
      <c r="B31" s="17">
        <v>1.5319088546000001</v>
      </c>
      <c r="C31" s="17">
        <v>1.5319088546000001</v>
      </c>
      <c r="D31" s="17">
        <v>1.5319088546000001</v>
      </c>
      <c r="E31" s="17">
        <v>1.5319088546000001</v>
      </c>
    </row>
    <row r="32" spans="1:5" x14ac:dyDescent="0.25">
      <c r="A32" s="10" t="s">
        <v>131</v>
      </c>
      <c r="B32" s="17">
        <v>1.62</v>
      </c>
      <c r="C32" s="17">
        <v>1.62</v>
      </c>
      <c r="D32" s="17">
        <v>1.62</v>
      </c>
      <c r="E32" s="17">
        <v>1.62</v>
      </c>
    </row>
    <row r="33" spans="1:8" x14ac:dyDescent="0.25">
      <c r="A33" s="10" t="s">
        <v>11</v>
      </c>
      <c r="B33" s="9">
        <v>598</v>
      </c>
      <c r="C33" s="9"/>
      <c r="D33" s="9"/>
    </row>
    <row r="34" spans="1:8" x14ac:dyDescent="0.25">
      <c r="A34" s="11"/>
      <c r="B34" s="11"/>
      <c r="C34" s="11"/>
      <c r="D34" s="11"/>
    </row>
    <row r="35" spans="1:8" x14ac:dyDescent="0.25">
      <c r="A35" s="12" t="s">
        <v>12</v>
      </c>
      <c r="B35" s="11"/>
      <c r="C35" s="11"/>
      <c r="D35" s="11"/>
    </row>
    <row r="36" spans="1:8" x14ac:dyDescent="0.25">
      <c r="A36" s="11" t="s">
        <v>49</v>
      </c>
      <c r="B36" s="9">
        <f>B20/B31</f>
        <v>175799915.28955549</v>
      </c>
      <c r="C36" s="9">
        <f>C20/C31</f>
        <v>175799915.28955549</v>
      </c>
      <c r="D36" s="9">
        <f t="shared" ref="D36:E36" si="2">D20/D31</f>
        <v>0</v>
      </c>
      <c r="E36" s="9">
        <f t="shared" si="2"/>
        <v>0</v>
      </c>
    </row>
    <row r="37" spans="1:8" x14ac:dyDescent="0.25">
      <c r="A37" s="11" t="s">
        <v>132</v>
      </c>
      <c r="B37" s="9">
        <f>B22/B32</f>
        <v>269834356.19753087</v>
      </c>
      <c r="C37" s="9">
        <f>C22/C32</f>
        <v>194678078.14197531</v>
      </c>
      <c r="D37" s="9">
        <f t="shared" ref="D37:E37" si="3">D22/D32</f>
        <v>0</v>
      </c>
      <c r="E37" s="9">
        <f t="shared" si="3"/>
        <v>75156278.055555552</v>
      </c>
    </row>
    <row r="38" spans="1:8" x14ac:dyDescent="0.25">
      <c r="A38" s="11" t="s">
        <v>50</v>
      </c>
      <c r="B38" s="9">
        <f>B36/B10</f>
        <v>578289.19503143255</v>
      </c>
      <c r="C38" s="9">
        <f>C36/$C10</f>
        <v>578289.19503143255</v>
      </c>
      <c r="D38" s="9">
        <f t="shared" ref="D38:E38" si="4">D36/$C10</f>
        <v>0</v>
      </c>
      <c r="E38" s="9">
        <f t="shared" si="4"/>
        <v>0</v>
      </c>
    </row>
    <row r="39" spans="1:8" x14ac:dyDescent="0.25">
      <c r="A39" s="11" t="s">
        <v>133</v>
      </c>
      <c r="B39" s="9">
        <f>B37/B14</f>
        <v>864853.70576131693</v>
      </c>
      <c r="C39" s="9">
        <f>C37/$C14</f>
        <v>623968.19917299785</v>
      </c>
      <c r="D39" s="9">
        <f t="shared" ref="D39:E39" si="5">D37/$C14</f>
        <v>0</v>
      </c>
      <c r="E39" s="9">
        <f t="shared" si="5"/>
        <v>240885.50658831908</v>
      </c>
    </row>
    <row r="41" spans="1:8" x14ac:dyDescent="0.25">
      <c r="A41" s="3" t="s">
        <v>13</v>
      </c>
    </row>
    <row r="43" spans="1:8" x14ac:dyDescent="0.25">
      <c r="A43" t="s">
        <v>14</v>
      </c>
    </row>
    <row r="44" spans="1:8" x14ac:dyDescent="0.25">
      <c r="A44" t="s">
        <v>15</v>
      </c>
      <c r="B44" s="30">
        <f>(B12/B33)*100</f>
        <v>26.421404682274247</v>
      </c>
      <c r="C44" s="15"/>
      <c r="D44" s="13"/>
      <c r="E44" s="11"/>
      <c r="F44" s="11"/>
      <c r="G44" s="11"/>
      <c r="H44" s="11"/>
    </row>
    <row r="45" spans="1:8" x14ac:dyDescent="0.25">
      <c r="A45" t="s">
        <v>16</v>
      </c>
      <c r="B45" s="15">
        <f>(B14*100)/(B33)</f>
        <v>52.173913043478258</v>
      </c>
      <c r="C45" s="15"/>
      <c r="D45" s="13"/>
    </row>
    <row r="47" spans="1:8" x14ac:dyDescent="0.25">
      <c r="A47" t="s">
        <v>17</v>
      </c>
    </row>
    <row r="48" spans="1:8" x14ac:dyDescent="0.25">
      <c r="A48" t="s">
        <v>18</v>
      </c>
      <c r="B48" s="14">
        <f>(B14/B12)*100</f>
        <v>197.46835443037975</v>
      </c>
      <c r="C48" s="14">
        <f>(C14/C12)*100</f>
        <v>197.46835443037975</v>
      </c>
      <c r="D48" s="14"/>
    </row>
    <row r="49" spans="1:5" x14ac:dyDescent="0.25">
      <c r="A49" t="s">
        <v>19</v>
      </c>
      <c r="B49" s="14">
        <f>B22/B21*100</f>
        <v>145.44259835722221</v>
      </c>
      <c r="C49" s="14">
        <f>C22/C21*100</f>
        <v>123.41035174856233</v>
      </c>
      <c r="D49" s="14">
        <f>D22/D21*100</f>
        <v>0</v>
      </c>
      <c r="E49" s="14">
        <f>E22/E21*100</f>
        <v>811.68780300000003</v>
      </c>
    </row>
    <row r="50" spans="1:5" x14ac:dyDescent="0.25">
      <c r="A50" s="11" t="s">
        <v>20</v>
      </c>
      <c r="B50" s="13">
        <f>AVERAGE(B48:B49)</f>
        <v>171.45547639380098</v>
      </c>
      <c r="C50" s="13">
        <f>AVERAGE(C48:C49)</f>
        <v>160.43935308947104</v>
      </c>
      <c r="D50" s="13"/>
    </row>
    <row r="51" spans="1:5" x14ac:dyDescent="0.25">
      <c r="A51" s="11"/>
      <c r="B51" s="13"/>
      <c r="C51" s="13"/>
      <c r="D51" s="13"/>
    </row>
    <row r="52" spans="1:5" x14ac:dyDescent="0.25">
      <c r="A52" s="11" t="s">
        <v>21</v>
      </c>
      <c r="B52" s="11"/>
      <c r="C52" s="11"/>
      <c r="D52" s="11"/>
    </row>
    <row r="53" spans="1:5" x14ac:dyDescent="0.25">
      <c r="A53" s="11" t="s">
        <v>22</v>
      </c>
      <c r="B53" s="13">
        <f>(B14/B16)*100</f>
        <v>49.367088607594937</v>
      </c>
      <c r="C53" s="13">
        <f>(C14/C16)*100</f>
        <v>49.367088607594937</v>
      </c>
      <c r="D53" s="13"/>
    </row>
    <row r="54" spans="1:5" x14ac:dyDescent="0.25">
      <c r="A54" s="11" t="s">
        <v>23</v>
      </c>
      <c r="B54" s="13">
        <f>B22/B23*100</f>
        <v>36.360649589305552</v>
      </c>
      <c r="C54" s="13">
        <f>C22/C23*100</f>
        <v>30.852587937140584</v>
      </c>
      <c r="D54" s="13">
        <f>D22/D23*100</f>
        <v>0</v>
      </c>
      <c r="E54" s="13">
        <f>E22/E23*100</f>
        <v>202.92195075000001</v>
      </c>
    </row>
    <row r="55" spans="1:5" x14ac:dyDescent="0.25">
      <c r="A55" s="11" t="s">
        <v>24</v>
      </c>
      <c r="B55" s="13">
        <f>(B53+B54)/2</f>
        <v>42.863869098450245</v>
      </c>
      <c r="C55" s="13">
        <f>(C53+C54)/2</f>
        <v>40.10983827236776</v>
      </c>
      <c r="D55" s="13"/>
    </row>
    <row r="56" spans="1:5" x14ac:dyDescent="0.25">
      <c r="A56" s="11"/>
      <c r="B56" s="11"/>
      <c r="C56" s="11"/>
      <c r="D56" s="11"/>
    </row>
    <row r="57" spans="1:5" x14ac:dyDescent="0.25">
      <c r="A57" s="11" t="s">
        <v>36</v>
      </c>
      <c r="B57" s="11"/>
      <c r="C57" s="11"/>
      <c r="D57" s="11"/>
    </row>
    <row r="58" spans="1:5" x14ac:dyDescent="0.25">
      <c r="A58" s="11" t="s">
        <v>25</v>
      </c>
      <c r="B58" s="15">
        <f>(B24/B22)*100</f>
        <v>72.147253924723444</v>
      </c>
      <c r="C58" s="13"/>
      <c r="D58" s="13"/>
    </row>
    <row r="59" spans="1:5" x14ac:dyDescent="0.25">
      <c r="A59" s="11"/>
      <c r="B59" s="11"/>
      <c r="C59" s="11"/>
      <c r="D59" s="11"/>
    </row>
    <row r="60" spans="1:5" x14ac:dyDescent="0.25">
      <c r="A60" s="11" t="s">
        <v>26</v>
      </c>
      <c r="B60" s="11"/>
      <c r="C60" s="11"/>
      <c r="D60" s="11"/>
    </row>
    <row r="61" spans="1:5" x14ac:dyDescent="0.25">
      <c r="A61" s="11" t="s">
        <v>27</v>
      </c>
      <c r="B61" s="14">
        <f>((B14/B10)-1)*100</f>
        <v>2.6315789473684292</v>
      </c>
      <c r="C61" s="14">
        <f>((C14/C10)-1)*100</f>
        <v>2.6315789473684292</v>
      </c>
      <c r="D61" s="13"/>
    </row>
    <row r="62" spans="1:5" x14ac:dyDescent="0.25">
      <c r="A62" s="11" t="s">
        <v>28</v>
      </c>
      <c r="B62" s="14">
        <f>((B37/B36)-1)*100</f>
        <v>53.489468839102507</v>
      </c>
      <c r="C62" s="14">
        <f>((C37/C36)-1)*100</f>
        <v>10.73843683105653</v>
      </c>
      <c r="D62" s="14" t="e">
        <f t="shared" ref="D62:E62" si="6">((D37/D36)-1)*100</f>
        <v>#DIV/0!</v>
      </c>
      <c r="E62" s="14" t="e">
        <f t="shared" si="6"/>
        <v>#DIV/0!</v>
      </c>
    </row>
    <row r="63" spans="1:5" x14ac:dyDescent="0.25">
      <c r="A63" s="11" t="s">
        <v>29</v>
      </c>
      <c r="B63" s="14">
        <f>((B39/B38)-1)*100</f>
        <v>49.55384143297168</v>
      </c>
      <c r="C63" s="14">
        <f>((C39/C38)-1)*100</f>
        <v>7.8989897328243242</v>
      </c>
      <c r="D63" s="13"/>
    </row>
    <row r="64" spans="1:5" x14ac:dyDescent="0.25">
      <c r="A64" s="11"/>
      <c r="B64" s="13"/>
      <c r="C64" s="13"/>
      <c r="D64" s="13"/>
    </row>
    <row r="65" spans="1:4" x14ac:dyDescent="0.25">
      <c r="A65" s="11" t="s">
        <v>30</v>
      </c>
      <c r="B65" s="11"/>
      <c r="C65" s="11"/>
      <c r="D65" s="11"/>
    </row>
    <row r="66" spans="1:4" x14ac:dyDescent="0.25">
      <c r="A66" t="s">
        <v>37</v>
      </c>
      <c r="B66" s="9">
        <f>B21/(B12*3)</f>
        <v>634077.42721518991</v>
      </c>
      <c r="C66" s="9">
        <f>C21/(C12*3)</f>
        <v>539140.7183544304</v>
      </c>
      <c r="D66" s="9"/>
    </row>
    <row r="67" spans="1:4" x14ac:dyDescent="0.25">
      <c r="A67" t="s">
        <v>38</v>
      </c>
      <c r="B67" s="9">
        <f>B22/(B14*3)</f>
        <v>467021.00111111114</v>
      </c>
      <c r="C67" s="9">
        <f>C22/(C14*3)</f>
        <v>336942.82755341881</v>
      </c>
      <c r="D67" s="9"/>
    </row>
    <row r="68" spans="1:4" x14ac:dyDescent="0.25">
      <c r="A68" t="s">
        <v>144</v>
      </c>
      <c r="B68" s="9"/>
      <c r="C68" s="9">
        <f>C22/C15</f>
        <v>523884.52921926917</v>
      </c>
      <c r="D68" s="9"/>
    </row>
    <row r="69" spans="1:4" x14ac:dyDescent="0.25">
      <c r="A69" s="11" t="s">
        <v>31</v>
      </c>
      <c r="B69" s="9">
        <f>(B66/B67)*B50</f>
        <v>232.78620681957491</v>
      </c>
      <c r="C69" s="9">
        <f>(C66/C67)*C50</f>
        <v>256.7182946289721</v>
      </c>
      <c r="D69" s="13"/>
    </row>
    <row r="70" spans="1:4" x14ac:dyDescent="0.25">
      <c r="A70" s="13" t="s">
        <v>39</v>
      </c>
      <c r="B70" s="9">
        <f>B21/B12</f>
        <v>1902232.2816455697</v>
      </c>
      <c r="C70" s="9">
        <f>C21/C12</f>
        <v>1617422.1550632911</v>
      </c>
      <c r="D70" s="13"/>
    </row>
    <row r="71" spans="1:4" x14ac:dyDescent="0.25">
      <c r="A71" s="13" t="s">
        <v>40</v>
      </c>
      <c r="B71" s="9">
        <f>B22/(B14)</f>
        <v>1401063.0033333334</v>
      </c>
      <c r="C71" s="9">
        <f>C22/(C14)</f>
        <v>1010828.4826602566</v>
      </c>
      <c r="D71" s="13"/>
    </row>
    <row r="72" spans="1:4" x14ac:dyDescent="0.25">
      <c r="B72" s="9"/>
      <c r="C72" s="9"/>
      <c r="D72" s="14"/>
    </row>
    <row r="73" spans="1:4" x14ac:dyDescent="0.25">
      <c r="A73" t="s">
        <v>32</v>
      </c>
      <c r="B73" s="14"/>
      <c r="C73" s="14"/>
      <c r="D73" s="14"/>
    </row>
    <row r="74" spans="1:4" x14ac:dyDescent="0.25">
      <c r="A74" s="11" t="s">
        <v>33</v>
      </c>
      <c r="B74" s="13">
        <f>(B28/B27)*100</f>
        <v>130.50039989243083</v>
      </c>
      <c r="C74" s="13"/>
      <c r="D74" s="13"/>
    </row>
    <row r="75" spans="1:4" x14ac:dyDescent="0.25">
      <c r="A75" s="11" t="s">
        <v>34</v>
      </c>
      <c r="B75" s="13">
        <f>(B22/B28)*100</f>
        <v>111.44992542329983</v>
      </c>
      <c r="C75" s="13"/>
      <c r="D75" s="13"/>
    </row>
    <row r="76" spans="1:4" ht="15.75" thickBot="1" x14ac:dyDescent="0.3">
      <c r="A76" s="16"/>
      <c r="B76" s="16"/>
      <c r="C76" s="16"/>
      <c r="D76" s="16"/>
    </row>
    <row r="77" spans="1:4" ht="15.75" thickTop="1" x14ac:dyDescent="0.25"/>
    <row r="78" spans="1:4" x14ac:dyDescent="0.25">
      <c r="A78" t="s">
        <v>35</v>
      </c>
    </row>
    <row r="79" spans="1:4" x14ac:dyDescent="0.25">
      <c r="A79" t="s">
        <v>143</v>
      </c>
    </row>
    <row r="80" spans="1:4" x14ac:dyDescent="0.25">
      <c r="A80" t="s">
        <v>158</v>
      </c>
      <c r="B80" s="5"/>
      <c r="C80" s="5"/>
      <c r="D80" s="5"/>
    </row>
    <row r="82" spans="1:1" x14ac:dyDescent="0.25">
      <c r="A82" t="s">
        <v>167</v>
      </c>
    </row>
    <row r="84" spans="1:1" x14ac:dyDescent="0.25">
      <c r="A84" s="20"/>
    </row>
    <row r="85" spans="1:1" x14ac:dyDescent="0.25">
      <c r="A85" s="21"/>
    </row>
    <row r="86" spans="1:1" x14ac:dyDescent="0.25">
      <c r="A86" s="21"/>
    </row>
  </sheetData>
  <mergeCells count="2">
    <mergeCell ref="A2:D2"/>
    <mergeCell ref="A4:A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6"/>
  <sheetViews>
    <sheetView workbookViewId="0">
      <selection activeCell="A84" sqref="A84"/>
    </sheetView>
  </sheetViews>
  <sheetFormatPr baseColWidth="10" defaultColWidth="11.42578125" defaultRowHeight="15" x14ac:dyDescent="0.25"/>
  <cols>
    <col min="1" max="1" width="55.140625" customWidth="1"/>
    <col min="2" max="2" width="16.140625" customWidth="1"/>
    <col min="3" max="3" width="15.5703125" customWidth="1"/>
    <col min="4" max="4" width="14.5703125" customWidth="1"/>
    <col min="5" max="5" width="14.140625" bestFit="1" customWidth="1"/>
  </cols>
  <sheetData>
    <row r="2" spans="1:5" ht="15.75" x14ac:dyDescent="0.25">
      <c r="A2" s="33" t="s">
        <v>116</v>
      </c>
      <c r="B2" s="33"/>
      <c r="C2" s="33"/>
      <c r="D2" s="33"/>
    </row>
    <row r="4" spans="1:5" x14ac:dyDescent="0.25">
      <c r="A4" s="34" t="s">
        <v>0</v>
      </c>
      <c r="B4" s="1" t="s">
        <v>1</v>
      </c>
      <c r="C4" s="18" t="s">
        <v>2</v>
      </c>
      <c r="D4" s="1" t="s">
        <v>5</v>
      </c>
      <c r="E4" s="1" t="s">
        <v>71</v>
      </c>
    </row>
    <row r="5" spans="1:5" ht="15.75" thickBot="1" x14ac:dyDescent="0.3">
      <c r="A5" s="35"/>
      <c r="B5" s="2" t="s">
        <v>3</v>
      </c>
      <c r="C5" s="2" t="s">
        <v>4</v>
      </c>
      <c r="D5" s="2" t="s">
        <v>41</v>
      </c>
      <c r="E5" s="2" t="s">
        <v>72</v>
      </c>
    </row>
    <row r="6" spans="1:5" ht="15.75" thickTop="1" x14ac:dyDescent="0.25"/>
    <row r="7" spans="1:5" x14ac:dyDescent="0.25">
      <c r="A7" s="3" t="s">
        <v>6</v>
      </c>
    </row>
    <row r="9" spans="1:5" x14ac:dyDescent="0.25">
      <c r="A9" t="s">
        <v>7</v>
      </c>
    </row>
    <row r="10" spans="1:5" x14ac:dyDescent="0.25">
      <c r="A10" s="4" t="s">
        <v>153</v>
      </c>
      <c r="B10" s="7">
        <f>C10</f>
        <v>299</v>
      </c>
      <c r="C10" s="7">
        <v>299</v>
      </c>
      <c r="D10" s="5"/>
    </row>
    <row r="11" spans="1:5" x14ac:dyDescent="0.25">
      <c r="A11" s="26" t="s">
        <v>4</v>
      </c>
      <c r="B11" s="27">
        <v>572</v>
      </c>
      <c r="C11" s="27">
        <v>572</v>
      </c>
      <c r="D11" s="28"/>
      <c r="E11" s="29"/>
    </row>
    <row r="12" spans="1:5" x14ac:dyDescent="0.25">
      <c r="A12" s="10" t="s">
        <v>161</v>
      </c>
      <c r="B12" s="9">
        <f>C12</f>
        <v>158</v>
      </c>
      <c r="C12" s="9">
        <v>158</v>
      </c>
      <c r="D12" s="31"/>
      <c r="E12" s="11"/>
    </row>
    <row r="13" spans="1:5" x14ac:dyDescent="0.25">
      <c r="A13" s="26" t="s">
        <v>4</v>
      </c>
      <c r="B13" s="27">
        <f>C13</f>
        <v>474</v>
      </c>
      <c r="C13" s="27">
        <f>158*3</f>
        <v>474</v>
      </c>
      <c r="D13" s="28"/>
      <c r="E13" s="29"/>
    </row>
    <row r="14" spans="1:5" x14ac:dyDescent="0.25">
      <c r="A14" s="4" t="s">
        <v>146</v>
      </c>
      <c r="B14" s="7">
        <f>C14</f>
        <v>332</v>
      </c>
      <c r="C14" s="7">
        <v>332</v>
      </c>
      <c r="D14" s="5"/>
    </row>
    <row r="15" spans="1:5" x14ac:dyDescent="0.25">
      <c r="A15" s="26" t="s">
        <v>4</v>
      </c>
      <c r="B15" s="27">
        <v>638</v>
      </c>
      <c r="C15" s="27">
        <v>638</v>
      </c>
      <c r="D15" s="28"/>
      <c r="E15" s="29"/>
    </row>
    <row r="16" spans="1:5" x14ac:dyDescent="0.25">
      <c r="A16" s="10" t="s">
        <v>166</v>
      </c>
      <c r="B16" s="9">
        <f t="shared" ref="B16:B17" si="0">C16</f>
        <v>632</v>
      </c>
      <c r="C16" s="9">
        <f>158*4</f>
        <v>632</v>
      </c>
      <c r="D16" s="31"/>
      <c r="E16" s="11"/>
    </row>
    <row r="17" spans="1:5" x14ac:dyDescent="0.25">
      <c r="A17" s="26" t="s">
        <v>4</v>
      </c>
      <c r="B17" s="27">
        <f t="shared" si="0"/>
        <v>1896</v>
      </c>
      <c r="C17" s="27">
        <f>158*12</f>
        <v>1896</v>
      </c>
      <c r="D17" s="28"/>
      <c r="E17" s="29"/>
    </row>
    <row r="18" spans="1:5" x14ac:dyDescent="0.25">
      <c r="B18" s="5"/>
      <c r="C18" s="5"/>
      <c r="D18" s="5"/>
    </row>
    <row r="19" spans="1:5" x14ac:dyDescent="0.25">
      <c r="A19" s="6" t="s">
        <v>8</v>
      </c>
      <c r="B19" s="5"/>
      <c r="C19" s="5"/>
      <c r="D19" s="5"/>
    </row>
    <row r="20" spans="1:5" x14ac:dyDescent="0.25">
      <c r="A20" s="4" t="s">
        <v>51</v>
      </c>
      <c r="B20" s="7">
        <f>SUM(C20:E20)</f>
        <v>263000000</v>
      </c>
      <c r="C20" s="7">
        <v>263000000</v>
      </c>
      <c r="D20" s="7">
        <v>0</v>
      </c>
    </row>
    <row r="21" spans="1:5" x14ac:dyDescent="0.25">
      <c r="A21" s="4" t="s">
        <v>119</v>
      </c>
      <c r="B21" s="7">
        <f>SUM(C21:E21)</f>
        <v>300552700.5</v>
      </c>
      <c r="C21" s="23">
        <v>255552700.5</v>
      </c>
      <c r="D21" s="7">
        <f>10000000*3</f>
        <v>30000000</v>
      </c>
      <c r="E21" s="23">
        <f>5000000*3</f>
        <v>15000000</v>
      </c>
    </row>
    <row r="22" spans="1:5" x14ac:dyDescent="0.25">
      <c r="A22" s="4" t="s">
        <v>120</v>
      </c>
      <c r="B22" s="7">
        <f t="shared" ref="B22:B23" si="1">SUM(C22:E22)</f>
        <v>355264817.72000003</v>
      </c>
      <c r="C22" s="7">
        <v>360058945</v>
      </c>
      <c r="D22" s="7">
        <v>0</v>
      </c>
      <c r="E22" s="23">
        <v>-4794127.28</v>
      </c>
    </row>
    <row r="23" spans="1:5" x14ac:dyDescent="0.25">
      <c r="A23" s="4" t="s">
        <v>82</v>
      </c>
      <c r="B23" s="7">
        <f t="shared" si="1"/>
        <v>1202210802</v>
      </c>
      <c r="C23" s="23">
        <v>1022210802</v>
      </c>
      <c r="D23" s="7">
        <v>120000000</v>
      </c>
      <c r="E23" s="7">
        <v>60000000</v>
      </c>
    </row>
    <row r="24" spans="1:5" x14ac:dyDescent="0.25">
      <c r="A24" s="4" t="s">
        <v>121</v>
      </c>
      <c r="B24" s="7">
        <f>C24</f>
        <v>360058945</v>
      </c>
      <c r="C24" s="7">
        <f>C22</f>
        <v>360058945</v>
      </c>
      <c r="D24" s="7"/>
    </row>
    <row r="25" spans="1:5" x14ac:dyDescent="0.25">
      <c r="B25" s="7"/>
      <c r="C25" s="7"/>
      <c r="D25" s="7"/>
    </row>
    <row r="26" spans="1:5" x14ac:dyDescent="0.25">
      <c r="A26" s="8" t="s">
        <v>9</v>
      </c>
      <c r="B26" s="9"/>
      <c r="C26" s="9"/>
      <c r="D26" s="9"/>
    </row>
    <row r="27" spans="1:5" x14ac:dyDescent="0.25">
      <c r="A27" s="10" t="s">
        <v>117</v>
      </c>
      <c r="B27" s="9">
        <f>B21</f>
        <v>300552700.5</v>
      </c>
      <c r="C27" s="9"/>
      <c r="D27" s="9"/>
    </row>
    <row r="28" spans="1:5" x14ac:dyDescent="0.25">
      <c r="A28" s="10" t="s">
        <v>118</v>
      </c>
      <c r="B28" s="9">
        <v>336132664.47999996</v>
      </c>
      <c r="C28" s="9"/>
      <c r="D28" s="9"/>
    </row>
    <row r="29" spans="1:5" x14ac:dyDescent="0.25">
      <c r="A29" s="11"/>
      <c r="B29" s="11"/>
      <c r="C29" s="11"/>
      <c r="D29" s="11"/>
    </row>
    <row r="30" spans="1:5" x14ac:dyDescent="0.25">
      <c r="A30" s="11" t="s">
        <v>10</v>
      </c>
      <c r="B30" s="11"/>
      <c r="C30" s="11"/>
      <c r="D30" s="11"/>
    </row>
    <row r="31" spans="1:5" x14ac:dyDescent="0.25">
      <c r="A31" s="10" t="s">
        <v>52</v>
      </c>
      <c r="B31" s="17">
        <v>1.5396358920333333</v>
      </c>
      <c r="C31" s="17">
        <v>1.5396358920333333</v>
      </c>
      <c r="D31" s="17">
        <v>1.5396358920333333</v>
      </c>
      <c r="E31" s="17">
        <v>1.5396358920333333</v>
      </c>
    </row>
    <row r="32" spans="1:5" x14ac:dyDescent="0.25">
      <c r="A32" s="10" t="s">
        <v>122</v>
      </c>
      <c r="B32" s="17">
        <v>1.6242666666666665</v>
      </c>
      <c r="C32" s="17">
        <v>1.6242666666666665</v>
      </c>
      <c r="D32" s="17">
        <v>1.6242666666666665</v>
      </c>
      <c r="E32" s="17">
        <v>1.6242666666666665</v>
      </c>
    </row>
    <row r="33" spans="1:8" x14ac:dyDescent="0.25">
      <c r="A33" s="10" t="s">
        <v>11</v>
      </c>
      <c r="B33" s="9">
        <v>598</v>
      </c>
      <c r="C33" s="9"/>
      <c r="D33" s="9"/>
    </row>
    <row r="34" spans="1:8" x14ac:dyDescent="0.25">
      <c r="A34" s="11"/>
      <c r="B34" s="11"/>
      <c r="C34" s="11"/>
      <c r="D34" s="11"/>
    </row>
    <row r="35" spans="1:8" x14ac:dyDescent="0.25">
      <c r="A35" s="12" t="s">
        <v>12</v>
      </c>
      <c r="B35" s="11"/>
      <c r="C35" s="11"/>
      <c r="D35" s="11"/>
    </row>
    <row r="36" spans="1:8" x14ac:dyDescent="0.25">
      <c r="A36" s="11" t="s">
        <v>53</v>
      </c>
      <c r="B36" s="9">
        <f>B20/B31</f>
        <v>170819608.29886007</v>
      </c>
      <c r="C36" s="9">
        <f>C20/C31</f>
        <v>170819608.29886007</v>
      </c>
      <c r="D36" s="9">
        <f t="shared" ref="D36:E36" si="2">D20/D31</f>
        <v>0</v>
      </c>
      <c r="E36" s="9">
        <f t="shared" si="2"/>
        <v>0</v>
      </c>
    </row>
    <row r="37" spans="1:8" x14ac:dyDescent="0.25">
      <c r="A37" s="11" t="s">
        <v>123</v>
      </c>
      <c r="B37" s="9">
        <f>B22/B32</f>
        <v>218723209.07076016</v>
      </c>
      <c r="C37" s="9">
        <f>C22/C32</f>
        <v>221674773.23099658</v>
      </c>
      <c r="D37" s="9">
        <f t="shared" ref="D37:E37" si="3">D22/D32</f>
        <v>0</v>
      </c>
      <c r="E37" s="9">
        <f t="shared" si="3"/>
        <v>-2951564.160236415</v>
      </c>
    </row>
    <row r="38" spans="1:8" x14ac:dyDescent="0.25">
      <c r="A38" s="11" t="s">
        <v>54</v>
      </c>
      <c r="B38" s="9">
        <f>B36/B10</f>
        <v>571303.03778882965</v>
      </c>
      <c r="C38" s="9">
        <f>C36/$C10</f>
        <v>571303.03778882965</v>
      </c>
      <c r="D38" s="9">
        <f t="shared" ref="D38:E38" si="4">D36/$C10</f>
        <v>0</v>
      </c>
      <c r="E38" s="9">
        <f t="shared" si="4"/>
        <v>0</v>
      </c>
    </row>
    <row r="39" spans="1:8" x14ac:dyDescent="0.25">
      <c r="A39" s="11" t="s">
        <v>124</v>
      </c>
      <c r="B39" s="9">
        <f>B37/B14</f>
        <v>658804.84659867513</v>
      </c>
      <c r="C39" s="9">
        <f>C37/$C14</f>
        <v>667695.1000933632</v>
      </c>
      <c r="D39" s="9">
        <f t="shared" ref="D39:E39" si="5">D37/$C14</f>
        <v>0</v>
      </c>
      <c r="E39" s="9">
        <f t="shared" si="5"/>
        <v>-8890.2534946879969</v>
      </c>
    </row>
    <row r="41" spans="1:8" x14ac:dyDescent="0.25">
      <c r="A41" s="3" t="s">
        <v>13</v>
      </c>
    </row>
    <row r="43" spans="1:8" x14ac:dyDescent="0.25">
      <c r="A43" t="s">
        <v>14</v>
      </c>
    </row>
    <row r="44" spans="1:8" x14ac:dyDescent="0.25">
      <c r="A44" t="s">
        <v>15</v>
      </c>
      <c r="B44" s="30">
        <f>(B12/B33)*100</f>
        <v>26.421404682274247</v>
      </c>
      <c r="C44" s="15"/>
      <c r="D44" s="13"/>
      <c r="E44" s="11"/>
      <c r="F44" s="11"/>
      <c r="G44" s="11"/>
      <c r="H44" s="11"/>
    </row>
    <row r="45" spans="1:8" x14ac:dyDescent="0.25">
      <c r="A45" t="s">
        <v>16</v>
      </c>
      <c r="B45" s="15">
        <f>(B14*100)/(B33)</f>
        <v>55.518394648829428</v>
      </c>
      <c r="C45" s="15"/>
      <c r="D45" s="13"/>
    </row>
    <row r="47" spans="1:8" x14ac:dyDescent="0.25">
      <c r="A47" t="s">
        <v>17</v>
      </c>
    </row>
    <row r="48" spans="1:8" x14ac:dyDescent="0.25">
      <c r="A48" t="s">
        <v>18</v>
      </c>
      <c r="B48" s="14">
        <f>(B14/B12)*100</f>
        <v>210.12658227848101</v>
      </c>
      <c r="C48" s="14">
        <f>(C14/C12)*100</f>
        <v>210.12658227848101</v>
      </c>
      <c r="D48" s="14"/>
    </row>
    <row r="49" spans="1:5" x14ac:dyDescent="0.25">
      <c r="A49" t="s">
        <v>19</v>
      </c>
      <c r="B49" s="14">
        <f>B22/B21*100</f>
        <v>118.20383484459825</v>
      </c>
      <c r="C49" s="14">
        <f>C22/C21*100</f>
        <v>140.89420471610316</v>
      </c>
      <c r="D49" s="14">
        <f>D22/D21*100</f>
        <v>0</v>
      </c>
      <c r="E49" s="14">
        <f>E22/E21*100</f>
        <v>-31.960848533333337</v>
      </c>
    </row>
    <row r="50" spans="1:5" x14ac:dyDescent="0.25">
      <c r="A50" s="11" t="s">
        <v>20</v>
      </c>
      <c r="B50" s="13">
        <f>AVERAGE(B48:B49)</f>
        <v>164.16520856153963</v>
      </c>
      <c r="C50" s="13">
        <f>AVERAGE(C48:C49)</f>
        <v>175.51039349729209</v>
      </c>
      <c r="D50" s="13"/>
    </row>
    <row r="51" spans="1:5" x14ac:dyDescent="0.25">
      <c r="A51" s="11"/>
      <c r="B51" s="13"/>
      <c r="C51" s="13"/>
      <c r="D51" s="13"/>
    </row>
    <row r="52" spans="1:5" x14ac:dyDescent="0.25">
      <c r="A52" s="11" t="s">
        <v>21</v>
      </c>
      <c r="B52" s="11"/>
      <c r="C52" s="11"/>
      <c r="D52" s="11"/>
    </row>
    <row r="53" spans="1:5" x14ac:dyDescent="0.25">
      <c r="A53" s="11" t="s">
        <v>22</v>
      </c>
      <c r="B53" s="13">
        <f>(B14/B16)*100</f>
        <v>52.531645569620252</v>
      </c>
      <c r="C53" s="13">
        <f>(C14/C16)*100</f>
        <v>52.531645569620252</v>
      </c>
      <c r="D53" s="13"/>
    </row>
    <row r="54" spans="1:5" x14ac:dyDescent="0.25">
      <c r="A54" s="11" t="s">
        <v>23</v>
      </c>
      <c r="B54" s="13">
        <f>B22/B23*100</f>
        <v>29.550958711149562</v>
      </c>
      <c r="C54" s="13">
        <f>C22/C23*100</f>
        <v>35.22355117902579</v>
      </c>
      <c r="D54" s="13">
        <f>D22/D23*100</f>
        <v>0</v>
      </c>
      <c r="E54" s="13">
        <f>E22/E23*100</f>
        <v>-7.9902121333333342</v>
      </c>
    </row>
    <row r="55" spans="1:5" x14ac:dyDescent="0.25">
      <c r="A55" s="11" t="s">
        <v>24</v>
      </c>
      <c r="B55" s="13">
        <f>(B53+B54)/2</f>
        <v>41.041302140384907</v>
      </c>
      <c r="C55" s="13">
        <f>(C53+C54)/2</f>
        <v>43.877598374323021</v>
      </c>
      <c r="D55" s="13"/>
    </row>
    <row r="56" spans="1:5" x14ac:dyDescent="0.25">
      <c r="A56" s="11"/>
      <c r="B56" s="11"/>
      <c r="C56" s="11"/>
      <c r="D56" s="11"/>
    </row>
    <row r="57" spans="1:5" x14ac:dyDescent="0.25">
      <c r="A57" s="11" t="s">
        <v>36</v>
      </c>
      <c r="B57" s="11"/>
      <c r="C57" s="11"/>
      <c r="D57" s="11"/>
    </row>
    <row r="58" spans="1:5" x14ac:dyDescent="0.25">
      <c r="A58" s="11" t="s">
        <v>25</v>
      </c>
      <c r="B58" s="15">
        <f>(B24/B22)*100</f>
        <v>101.34945174441069</v>
      </c>
      <c r="C58" s="13"/>
      <c r="D58" s="13"/>
    </row>
    <row r="59" spans="1:5" x14ac:dyDescent="0.25">
      <c r="A59" s="11"/>
      <c r="B59" s="11"/>
      <c r="C59" s="11"/>
      <c r="D59" s="11"/>
    </row>
    <row r="60" spans="1:5" x14ac:dyDescent="0.25">
      <c r="A60" s="11" t="s">
        <v>26</v>
      </c>
      <c r="B60" s="11"/>
      <c r="C60" s="11"/>
      <c r="D60" s="11"/>
    </row>
    <row r="61" spans="1:5" x14ac:dyDescent="0.25">
      <c r="A61" s="11" t="s">
        <v>27</v>
      </c>
      <c r="B61" s="14">
        <f>((B14/B10)-1)*100</f>
        <v>11.036789297658856</v>
      </c>
      <c r="C61" s="14">
        <f>((C14/C10)-1)*100</f>
        <v>11.036789297658856</v>
      </c>
      <c r="D61" s="13"/>
    </row>
    <row r="62" spans="1:5" x14ac:dyDescent="0.25">
      <c r="A62" s="11" t="s">
        <v>28</v>
      </c>
      <c r="B62" s="14">
        <f>((B37/B36)-1)*100</f>
        <v>28.043385211427019</v>
      </c>
      <c r="C62" s="14">
        <f>((C37/C36)-1)*100</f>
        <v>29.771268906765116</v>
      </c>
      <c r="D62" s="14" t="e">
        <f t="shared" ref="D62:E62" si="6">((D37/D36)-1)*100</f>
        <v>#DIV/0!</v>
      </c>
      <c r="E62" s="14" t="e">
        <f t="shared" si="6"/>
        <v>#DIV/0!</v>
      </c>
    </row>
    <row r="63" spans="1:5" x14ac:dyDescent="0.25">
      <c r="A63" s="11" t="s">
        <v>29</v>
      </c>
      <c r="B63" s="14">
        <f>((B39/B38)-1)*100</f>
        <v>15.316181259688788</v>
      </c>
      <c r="C63" s="14">
        <f>((C39/C38)-1)*100</f>
        <v>16.87231747928546</v>
      </c>
      <c r="D63" s="13"/>
    </row>
    <row r="64" spans="1:5" x14ac:dyDescent="0.25">
      <c r="A64" s="11"/>
      <c r="B64" s="13"/>
      <c r="C64" s="13"/>
      <c r="D64" s="13"/>
    </row>
    <row r="65" spans="1:5" x14ac:dyDescent="0.25">
      <c r="A65" s="11" t="s">
        <v>30</v>
      </c>
      <c r="B65" s="11"/>
      <c r="C65" s="11"/>
      <c r="D65" s="11"/>
    </row>
    <row r="66" spans="1:5" x14ac:dyDescent="0.25">
      <c r="A66" t="s">
        <v>37</v>
      </c>
      <c r="B66" s="9">
        <f>B21/(B12*3)</f>
        <v>634077.42721518991</v>
      </c>
      <c r="C66" s="9">
        <f>C21/(C12*3)</f>
        <v>539140.7183544304</v>
      </c>
      <c r="D66" s="9"/>
    </row>
    <row r="67" spans="1:5" x14ac:dyDescent="0.25">
      <c r="A67" t="s">
        <v>38</v>
      </c>
      <c r="B67" s="9">
        <f>B22/(B14*3)</f>
        <v>356691.58405622491</v>
      </c>
      <c r="C67" s="9">
        <f>C22/(C14*3)</f>
        <v>361504.96485943778</v>
      </c>
      <c r="D67" s="9"/>
    </row>
    <row r="68" spans="1:5" x14ac:dyDescent="0.25">
      <c r="A68" t="s">
        <v>144</v>
      </c>
      <c r="B68" s="9"/>
      <c r="C68" s="9">
        <f>C22/C15</f>
        <v>564355.71316614421</v>
      </c>
      <c r="D68" s="9"/>
    </row>
    <row r="69" spans="1:5" x14ac:dyDescent="0.25">
      <c r="A69" s="11" t="s">
        <v>31</v>
      </c>
      <c r="B69" s="9">
        <f>(B66/B67)*B50</f>
        <v>291.830415226556</v>
      </c>
      <c r="C69" s="9">
        <f>(C66/C67)*C50</f>
        <v>261.75242064957894</v>
      </c>
      <c r="D69" s="13"/>
    </row>
    <row r="70" spans="1:5" x14ac:dyDescent="0.25">
      <c r="A70" s="13" t="s">
        <v>39</v>
      </c>
      <c r="B70" s="9">
        <f>B21/B12</f>
        <v>1902232.2816455697</v>
      </c>
      <c r="C70" s="9">
        <f>C21/C12</f>
        <v>1617422.1550632911</v>
      </c>
      <c r="D70" s="13"/>
    </row>
    <row r="71" spans="1:5" x14ac:dyDescent="0.25">
      <c r="A71" s="13" t="s">
        <v>40</v>
      </c>
      <c r="B71" s="9">
        <f>B22/(B14)</f>
        <v>1070074.7521686747</v>
      </c>
      <c r="C71" s="9">
        <f>C22/(C14)</f>
        <v>1084514.8945783132</v>
      </c>
      <c r="D71" s="13"/>
    </row>
    <row r="72" spans="1:5" x14ac:dyDescent="0.25">
      <c r="B72" s="9"/>
      <c r="C72" s="9"/>
      <c r="D72" s="14"/>
    </row>
    <row r="73" spans="1:5" x14ac:dyDescent="0.25">
      <c r="A73" t="s">
        <v>32</v>
      </c>
      <c r="B73" s="14"/>
      <c r="C73" s="14"/>
      <c r="D73" s="14"/>
    </row>
    <row r="74" spans="1:5" x14ac:dyDescent="0.25">
      <c r="A74" s="11" t="s">
        <v>33</v>
      </c>
      <c r="B74" s="13">
        <f>(B28/B27)*100</f>
        <v>111.83817810347705</v>
      </c>
      <c r="C74" s="13"/>
      <c r="D74" s="13"/>
    </row>
    <row r="75" spans="1:5" x14ac:dyDescent="0.25">
      <c r="A75" s="11" t="s">
        <v>34</v>
      </c>
      <c r="B75" s="13">
        <f>(B22/B28)*100</f>
        <v>105.69184588757467</v>
      </c>
      <c r="C75" s="13"/>
      <c r="D75" s="13"/>
    </row>
    <row r="76" spans="1:5" ht="15.75" thickBot="1" x14ac:dyDescent="0.3">
      <c r="A76" s="16"/>
      <c r="B76" s="16"/>
      <c r="C76" s="16"/>
      <c r="D76" s="16"/>
      <c r="E76" s="16"/>
    </row>
    <row r="77" spans="1:5" ht="15.75" thickTop="1" x14ac:dyDescent="0.25"/>
    <row r="78" spans="1:5" x14ac:dyDescent="0.25">
      <c r="A78" t="s">
        <v>35</v>
      </c>
    </row>
    <row r="79" spans="1:5" x14ac:dyDescent="0.25">
      <c r="A79" t="s">
        <v>143</v>
      </c>
    </row>
    <row r="80" spans="1:5" x14ac:dyDescent="0.25">
      <c r="A80" t="s">
        <v>158</v>
      </c>
      <c r="B80" s="5"/>
      <c r="C80" s="5"/>
      <c r="D80" s="5"/>
    </row>
    <row r="82" spans="1:1" x14ac:dyDescent="0.25">
      <c r="A82" t="s">
        <v>167</v>
      </c>
    </row>
    <row r="84" spans="1:1" x14ac:dyDescent="0.25">
      <c r="A84" s="32" t="s">
        <v>169</v>
      </c>
    </row>
    <row r="85" spans="1:1" x14ac:dyDescent="0.25">
      <c r="A85" s="21"/>
    </row>
    <row r="86" spans="1:1" x14ac:dyDescent="0.25">
      <c r="A86" s="21"/>
    </row>
  </sheetData>
  <mergeCells count="2">
    <mergeCell ref="A2:D2"/>
    <mergeCell ref="A4:A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6"/>
  <sheetViews>
    <sheetView workbookViewId="0">
      <selection activeCell="C49" sqref="C49"/>
    </sheetView>
  </sheetViews>
  <sheetFormatPr baseColWidth="10" defaultColWidth="11.42578125" defaultRowHeight="15" x14ac:dyDescent="0.25"/>
  <cols>
    <col min="1" max="1" width="55.140625" customWidth="1"/>
    <col min="2" max="2" width="16.140625" customWidth="1"/>
    <col min="3" max="3" width="15.5703125" customWidth="1"/>
    <col min="4" max="4" width="14.5703125" customWidth="1"/>
    <col min="5" max="5" width="14.140625" bestFit="1" customWidth="1"/>
  </cols>
  <sheetData>
    <row r="2" spans="1:5" ht="15.75" x14ac:dyDescent="0.25">
      <c r="A2" s="33" t="s">
        <v>107</v>
      </c>
      <c r="B2" s="33"/>
      <c r="C2" s="33"/>
      <c r="D2" s="33"/>
    </row>
    <row r="4" spans="1:5" x14ac:dyDescent="0.25">
      <c r="A4" s="34" t="s">
        <v>0</v>
      </c>
      <c r="B4" s="1" t="s">
        <v>1</v>
      </c>
      <c r="C4" s="18" t="s">
        <v>2</v>
      </c>
      <c r="D4" s="1" t="s">
        <v>5</v>
      </c>
      <c r="E4" s="1" t="s">
        <v>71</v>
      </c>
    </row>
    <row r="5" spans="1:5" ht="15.75" thickBot="1" x14ac:dyDescent="0.3">
      <c r="A5" s="35"/>
      <c r="B5" s="2" t="s">
        <v>3</v>
      </c>
      <c r="C5" s="2" t="s">
        <v>4</v>
      </c>
      <c r="D5" s="2" t="s">
        <v>41</v>
      </c>
      <c r="E5" s="2" t="s">
        <v>72</v>
      </c>
    </row>
    <row r="6" spans="1:5" ht="15.75" thickTop="1" x14ac:dyDescent="0.25"/>
    <row r="7" spans="1:5" x14ac:dyDescent="0.25">
      <c r="A7" s="3" t="s">
        <v>6</v>
      </c>
    </row>
    <row r="9" spans="1:5" x14ac:dyDescent="0.25">
      <c r="A9" t="s">
        <v>7</v>
      </c>
    </row>
    <row r="10" spans="1:5" x14ac:dyDescent="0.25">
      <c r="A10" s="4" t="s">
        <v>154</v>
      </c>
      <c r="B10" s="7">
        <f t="shared" ref="B10:B17" si="0">C10</f>
        <v>288</v>
      </c>
      <c r="C10" s="7">
        <v>288</v>
      </c>
      <c r="D10" s="5"/>
    </row>
    <row r="11" spans="1:5" x14ac:dyDescent="0.25">
      <c r="A11" s="26" t="s">
        <v>4</v>
      </c>
      <c r="B11" s="27">
        <f t="shared" si="0"/>
        <v>556</v>
      </c>
      <c r="C11" s="27">
        <v>556</v>
      </c>
      <c r="D11" s="28"/>
      <c r="E11" s="29"/>
    </row>
    <row r="12" spans="1:5" x14ac:dyDescent="0.25">
      <c r="A12" s="10" t="s">
        <v>162</v>
      </c>
      <c r="B12" s="9">
        <f t="shared" si="0"/>
        <v>158</v>
      </c>
      <c r="C12" s="9">
        <v>158</v>
      </c>
      <c r="D12" s="31"/>
      <c r="E12" s="11"/>
    </row>
    <row r="13" spans="1:5" x14ac:dyDescent="0.25">
      <c r="A13" s="26" t="s">
        <v>4</v>
      </c>
      <c r="B13" s="27">
        <f t="shared" ref="B13" si="1">C13</f>
        <v>474</v>
      </c>
      <c r="C13" s="27">
        <f>158*3</f>
        <v>474</v>
      </c>
      <c r="D13" s="28"/>
      <c r="E13" s="29"/>
    </row>
    <row r="14" spans="1:5" x14ac:dyDescent="0.25">
      <c r="A14" s="4" t="s">
        <v>147</v>
      </c>
      <c r="B14" s="7">
        <f t="shared" si="0"/>
        <v>320</v>
      </c>
      <c r="C14" s="7">
        <v>320</v>
      </c>
      <c r="D14" s="5"/>
    </row>
    <row r="15" spans="1:5" x14ac:dyDescent="0.25">
      <c r="A15" s="26" t="s">
        <v>4</v>
      </c>
      <c r="B15" s="27">
        <f t="shared" si="0"/>
        <v>624</v>
      </c>
      <c r="C15" s="27">
        <v>624</v>
      </c>
      <c r="D15" s="28"/>
      <c r="E15" s="29"/>
    </row>
    <row r="16" spans="1:5" x14ac:dyDescent="0.25">
      <c r="A16" s="10" t="s">
        <v>166</v>
      </c>
      <c r="B16" s="9">
        <f t="shared" si="0"/>
        <v>632</v>
      </c>
      <c r="C16" s="9">
        <f>158*4</f>
        <v>632</v>
      </c>
      <c r="D16" s="31"/>
      <c r="E16" s="11"/>
    </row>
    <row r="17" spans="1:5" x14ac:dyDescent="0.25">
      <c r="A17" s="26" t="s">
        <v>4</v>
      </c>
      <c r="B17" s="27">
        <f t="shared" si="0"/>
        <v>1896</v>
      </c>
      <c r="C17" s="27">
        <f>158*12</f>
        <v>1896</v>
      </c>
      <c r="D17" s="28"/>
      <c r="E17" s="29"/>
    </row>
    <row r="18" spans="1:5" x14ac:dyDescent="0.25">
      <c r="B18" s="5"/>
      <c r="C18" s="5"/>
      <c r="D18" s="5"/>
    </row>
    <row r="19" spans="1:5" x14ac:dyDescent="0.25">
      <c r="A19" s="6" t="s">
        <v>8</v>
      </c>
      <c r="B19" s="5"/>
      <c r="C19" s="5"/>
      <c r="D19" s="5"/>
    </row>
    <row r="20" spans="1:5" x14ac:dyDescent="0.25">
      <c r="A20" s="4" t="s">
        <v>55</v>
      </c>
      <c r="B20" s="7">
        <f>SUM(C20:E20)</f>
        <v>429954825.80000001</v>
      </c>
      <c r="C20" s="9">
        <v>270589881.19999999</v>
      </c>
      <c r="D20" s="9">
        <v>105868447.40000001</v>
      </c>
      <c r="E20" s="23">
        <v>53496497.200000003</v>
      </c>
    </row>
    <row r="21" spans="1:5" x14ac:dyDescent="0.25">
      <c r="A21" s="4" t="s">
        <v>110</v>
      </c>
      <c r="B21" s="7">
        <f>SUM(C21:E21)</f>
        <v>300552700.5</v>
      </c>
      <c r="C21" s="23">
        <v>255552700.5</v>
      </c>
      <c r="D21" s="7">
        <f>10000000*3</f>
        <v>30000000</v>
      </c>
      <c r="E21" s="23">
        <f>5000000*3</f>
        <v>15000000</v>
      </c>
    </row>
    <row r="22" spans="1:5" x14ac:dyDescent="0.25">
      <c r="A22" s="4" t="s">
        <v>111</v>
      </c>
      <c r="B22" s="7">
        <f t="shared" ref="B22:B23" si="2">SUM(C22:E22)</f>
        <v>423845707.98000002</v>
      </c>
      <c r="C22" s="9">
        <v>299323435.44</v>
      </c>
      <c r="D22" s="9">
        <v>0</v>
      </c>
      <c r="E22" s="23">
        <v>124522272.53999999</v>
      </c>
    </row>
    <row r="23" spans="1:5" x14ac:dyDescent="0.25">
      <c r="A23" s="4" t="s">
        <v>82</v>
      </c>
      <c r="B23" s="7">
        <f t="shared" si="2"/>
        <v>1202210802</v>
      </c>
      <c r="C23" s="23">
        <v>1022210802</v>
      </c>
      <c r="D23" s="7">
        <v>120000000</v>
      </c>
      <c r="E23" s="7">
        <v>60000000</v>
      </c>
    </row>
    <row r="24" spans="1:5" x14ac:dyDescent="0.25">
      <c r="A24" s="4" t="s">
        <v>112</v>
      </c>
      <c r="B24" s="7">
        <f>C24</f>
        <v>299323435.44</v>
      </c>
      <c r="C24" s="7">
        <f>C22</f>
        <v>299323435.44</v>
      </c>
      <c r="D24" s="7"/>
    </row>
    <row r="25" spans="1:5" x14ac:dyDescent="0.25">
      <c r="B25" s="7"/>
      <c r="C25" s="7"/>
      <c r="D25" s="7"/>
    </row>
    <row r="26" spans="1:5" x14ac:dyDescent="0.25">
      <c r="A26" s="8" t="s">
        <v>9</v>
      </c>
      <c r="B26" s="9"/>
      <c r="C26" s="9"/>
      <c r="D26" s="9"/>
    </row>
    <row r="27" spans="1:5" x14ac:dyDescent="0.25">
      <c r="A27" s="10" t="s">
        <v>108</v>
      </c>
      <c r="B27" s="9">
        <f>B21</f>
        <v>300552700.5</v>
      </c>
      <c r="C27" s="9"/>
      <c r="D27" s="9"/>
    </row>
    <row r="28" spans="1:5" x14ac:dyDescent="0.25">
      <c r="A28" s="10" t="s">
        <v>109</v>
      </c>
      <c r="B28" s="9">
        <v>380039850.98000002</v>
      </c>
      <c r="C28" s="9"/>
      <c r="D28" s="9"/>
    </row>
    <row r="29" spans="1:5" x14ac:dyDescent="0.25">
      <c r="A29" s="11"/>
      <c r="B29" s="11"/>
      <c r="C29" s="11"/>
      <c r="D29" s="11"/>
    </row>
    <row r="30" spans="1:5" x14ac:dyDescent="0.25">
      <c r="A30" s="11" t="s">
        <v>10</v>
      </c>
      <c r="B30" s="11"/>
      <c r="C30" s="11"/>
      <c r="D30" s="11"/>
    </row>
    <row r="31" spans="1:5" x14ac:dyDescent="0.25">
      <c r="A31" s="10" t="s">
        <v>56</v>
      </c>
      <c r="B31" s="17">
        <v>1.5597333333333332</v>
      </c>
      <c r="C31" s="17">
        <v>1.5597333333333332</v>
      </c>
      <c r="D31" s="17">
        <v>1.5597333333333332</v>
      </c>
      <c r="E31" s="17">
        <v>1.5597333333333301</v>
      </c>
    </row>
    <row r="32" spans="1:5" x14ac:dyDescent="0.25">
      <c r="A32" s="10" t="s">
        <v>113</v>
      </c>
      <c r="B32" s="17">
        <v>1.6181333333333334</v>
      </c>
      <c r="C32" s="17">
        <v>1.6181333333333334</v>
      </c>
      <c r="D32" s="17">
        <v>1.6181333333333334</v>
      </c>
      <c r="E32" s="17">
        <v>1.6181333333333301</v>
      </c>
    </row>
    <row r="33" spans="1:8" x14ac:dyDescent="0.25">
      <c r="A33" s="10" t="s">
        <v>11</v>
      </c>
      <c r="B33" s="9">
        <v>598</v>
      </c>
      <c r="C33" s="9"/>
      <c r="D33" s="9"/>
    </row>
    <row r="34" spans="1:8" x14ac:dyDescent="0.25">
      <c r="A34" s="11"/>
      <c r="B34" s="11"/>
      <c r="C34" s="11"/>
      <c r="D34" s="11"/>
    </row>
    <row r="35" spans="1:8" x14ac:dyDescent="0.25">
      <c r="A35" s="12" t="s">
        <v>12</v>
      </c>
      <c r="B35" s="11"/>
      <c r="C35" s="11"/>
      <c r="D35" s="11"/>
    </row>
    <row r="36" spans="1:8" x14ac:dyDescent="0.25">
      <c r="A36" s="11" t="s">
        <v>57</v>
      </c>
      <c r="B36" s="9">
        <f>B20/B31</f>
        <v>275659189.04941016</v>
      </c>
      <c r="C36" s="9">
        <f>C20/C31</f>
        <v>173484707.55684733</v>
      </c>
      <c r="D36" s="9">
        <f t="shared" ref="D36:E36" si="3">D20/D31</f>
        <v>67875992.092665419</v>
      </c>
      <c r="E36" s="9">
        <f t="shared" si="3"/>
        <v>34298489.399897493</v>
      </c>
    </row>
    <row r="37" spans="1:8" x14ac:dyDescent="0.25">
      <c r="A37" s="11" t="s">
        <v>114</v>
      </c>
      <c r="B37" s="9">
        <f>B22/B32</f>
        <v>261934971.14782465</v>
      </c>
      <c r="C37" s="9">
        <f>C22/C32</f>
        <v>184980699.22544494</v>
      </c>
      <c r="D37" s="9">
        <f t="shared" ref="D37:E37" si="4">D22/D32</f>
        <v>0</v>
      </c>
      <c r="E37" s="9">
        <f t="shared" si="4"/>
        <v>76954271.922379851</v>
      </c>
    </row>
    <row r="38" spans="1:8" x14ac:dyDescent="0.25">
      <c r="A38" s="11" t="s">
        <v>58</v>
      </c>
      <c r="B38" s="9">
        <f>B36/B10</f>
        <v>957149.96197711863</v>
      </c>
      <c r="C38" s="9">
        <f t="shared" ref="C38" si="5">C36/C10</f>
        <v>602377.45679460885</v>
      </c>
      <c r="D38" s="9">
        <f>D36/C10</f>
        <v>235680.5280995327</v>
      </c>
      <c r="E38" s="9">
        <f>E36/C10</f>
        <v>119091.97708297741</v>
      </c>
    </row>
    <row r="39" spans="1:8" x14ac:dyDescent="0.25">
      <c r="A39" s="11" t="s">
        <v>115</v>
      </c>
      <c r="B39" s="9">
        <f>B37/B14</f>
        <v>818546.78483695199</v>
      </c>
      <c r="C39" s="9">
        <f>C37/C14</f>
        <v>578064.68507951545</v>
      </c>
      <c r="D39" s="9">
        <f>D37/C14</f>
        <v>0</v>
      </c>
      <c r="E39" s="9">
        <f>E37/C14</f>
        <v>240482.09975743704</v>
      </c>
    </row>
    <row r="41" spans="1:8" x14ac:dyDescent="0.25">
      <c r="A41" s="3" t="s">
        <v>13</v>
      </c>
    </row>
    <row r="43" spans="1:8" x14ac:dyDescent="0.25">
      <c r="A43" t="s">
        <v>14</v>
      </c>
    </row>
    <row r="44" spans="1:8" x14ac:dyDescent="0.25">
      <c r="A44" t="s">
        <v>15</v>
      </c>
      <c r="B44" s="30">
        <f>(B12/B33)*100</f>
        <v>26.421404682274247</v>
      </c>
      <c r="C44" s="15"/>
      <c r="D44" s="13"/>
      <c r="E44" s="11"/>
      <c r="F44" s="11"/>
      <c r="G44" s="11"/>
      <c r="H44" s="11"/>
    </row>
    <row r="45" spans="1:8" x14ac:dyDescent="0.25">
      <c r="A45" t="s">
        <v>16</v>
      </c>
      <c r="B45" s="15">
        <f>(B14*100)/(B33)</f>
        <v>53.511705685618729</v>
      </c>
      <c r="C45" s="15"/>
      <c r="D45" s="13"/>
    </row>
    <row r="47" spans="1:8" x14ac:dyDescent="0.25">
      <c r="A47" t="s">
        <v>17</v>
      </c>
    </row>
    <row r="48" spans="1:8" x14ac:dyDescent="0.25">
      <c r="A48" t="s">
        <v>18</v>
      </c>
      <c r="B48" s="14">
        <f>(B14/B12)*100</f>
        <v>202.53164556962025</v>
      </c>
      <c r="C48" s="14">
        <f>(C14/C12)*100</f>
        <v>202.53164556962025</v>
      </c>
      <c r="D48" s="14"/>
    </row>
    <row r="49" spans="1:5" x14ac:dyDescent="0.25">
      <c r="A49" t="s">
        <v>19</v>
      </c>
      <c r="B49" s="14">
        <f>B22/B21*100</f>
        <v>141.02209272280356</v>
      </c>
      <c r="C49" s="14">
        <f>C22/C21*100</f>
        <v>117.12787024138687</v>
      </c>
      <c r="D49" s="14">
        <f>D22/D21*100</f>
        <v>0</v>
      </c>
      <c r="E49" s="14">
        <f>E22/E21*100</f>
        <v>830.14848359999996</v>
      </c>
    </row>
    <row r="50" spans="1:5" x14ac:dyDescent="0.25">
      <c r="A50" s="11" t="s">
        <v>20</v>
      </c>
      <c r="B50" s="13">
        <f>AVERAGE(B48:B49)</f>
        <v>171.77686914621191</v>
      </c>
      <c r="C50" s="13">
        <f>AVERAGE(C48:C49)</f>
        <v>159.82975790550356</v>
      </c>
      <c r="D50" s="13"/>
    </row>
    <row r="51" spans="1:5" x14ac:dyDescent="0.25">
      <c r="A51" s="11"/>
      <c r="B51" s="13"/>
      <c r="C51" s="13"/>
      <c r="D51" s="13"/>
    </row>
    <row r="52" spans="1:5" x14ac:dyDescent="0.25">
      <c r="A52" s="11" t="s">
        <v>21</v>
      </c>
      <c r="B52" s="11"/>
      <c r="C52" s="11"/>
      <c r="D52" s="11"/>
    </row>
    <row r="53" spans="1:5" x14ac:dyDescent="0.25">
      <c r="A53" s="11" t="s">
        <v>22</v>
      </c>
      <c r="B53" s="13">
        <f>(B14/B16)*100</f>
        <v>50.632911392405063</v>
      </c>
      <c r="C53" s="13">
        <f>(C14/C16)*100</f>
        <v>50.632911392405063</v>
      </c>
      <c r="D53" s="13"/>
    </row>
    <row r="54" spans="1:5" x14ac:dyDescent="0.25">
      <c r="A54" s="11" t="s">
        <v>23</v>
      </c>
      <c r="B54" s="13">
        <f>B22/B23*100</f>
        <v>35.255523180700891</v>
      </c>
      <c r="C54" s="13">
        <f>C22/C23*100</f>
        <v>29.281967560346718</v>
      </c>
      <c r="D54" s="13">
        <f>D22/D23*100</f>
        <v>0</v>
      </c>
      <c r="E54" s="13">
        <f>E22/E23*100</f>
        <v>207.53712089999999</v>
      </c>
    </row>
    <row r="55" spans="1:5" x14ac:dyDescent="0.25">
      <c r="A55" s="11" t="s">
        <v>24</v>
      </c>
      <c r="B55" s="13">
        <f>(B53+B54)/2</f>
        <v>42.944217286552977</v>
      </c>
      <c r="C55" s="13">
        <f>(C53+C54)/2</f>
        <v>39.957439476375889</v>
      </c>
      <c r="D55" s="13"/>
    </row>
    <row r="56" spans="1:5" x14ac:dyDescent="0.25">
      <c r="A56" s="11"/>
      <c r="B56" s="11"/>
      <c r="C56" s="11"/>
      <c r="D56" s="11"/>
    </row>
    <row r="57" spans="1:5" x14ac:dyDescent="0.25">
      <c r="A57" s="11" t="s">
        <v>36</v>
      </c>
      <c r="B57" s="11"/>
      <c r="C57" s="11"/>
      <c r="D57" s="11"/>
    </row>
    <row r="58" spans="1:5" x14ac:dyDescent="0.25">
      <c r="A58" s="11" t="s">
        <v>25</v>
      </c>
      <c r="B58" s="15">
        <f>(B24/B22)*100</f>
        <v>70.620848531542563</v>
      </c>
      <c r="C58" s="13"/>
      <c r="D58" s="13"/>
    </row>
    <row r="59" spans="1:5" x14ac:dyDescent="0.25">
      <c r="A59" s="11"/>
      <c r="B59" s="11"/>
      <c r="C59" s="11"/>
      <c r="D59" s="11"/>
    </row>
    <row r="60" spans="1:5" x14ac:dyDescent="0.25">
      <c r="A60" s="11" t="s">
        <v>26</v>
      </c>
      <c r="B60" s="11"/>
      <c r="C60" s="11"/>
      <c r="D60" s="11"/>
    </row>
    <row r="61" spans="1:5" x14ac:dyDescent="0.25">
      <c r="A61" s="11" t="s">
        <v>27</v>
      </c>
      <c r="B61" s="14">
        <f>((B14/B10)-1)*100</f>
        <v>11.111111111111116</v>
      </c>
      <c r="C61" s="14">
        <f>((C14/C10)-1)*100</f>
        <v>11.111111111111116</v>
      </c>
      <c r="D61" s="13"/>
    </row>
    <row r="62" spans="1:5" x14ac:dyDescent="0.25">
      <c r="A62" s="11" t="s">
        <v>28</v>
      </c>
      <c r="B62" s="14">
        <f>((B37/B36)-1)*100</f>
        <v>-4.9786905159637351</v>
      </c>
      <c r="C62" s="14">
        <f>((C37/C36)-1)*100</f>
        <v>6.6265158644202682</v>
      </c>
      <c r="D62" s="14">
        <f t="shared" ref="D62:E62" si="6">((D37/D36)-1)*100</f>
        <v>-100</v>
      </c>
      <c r="E62" s="14">
        <f t="shared" si="6"/>
        <v>124.36635918609826</v>
      </c>
    </row>
    <row r="63" spans="1:5" x14ac:dyDescent="0.25">
      <c r="A63" s="11" t="s">
        <v>29</v>
      </c>
      <c r="B63" s="14">
        <f>((B39/B38)-1)*100</f>
        <v>-14.480821464367367</v>
      </c>
      <c r="C63" s="14">
        <f>((C39/C38)-1)*100</f>
        <v>-4.0361357220217613</v>
      </c>
      <c r="D63" s="13"/>
    </row>
    <row r="64" spans="1:5" x14ac:dyDescent="0.25">
      <c r="A64" s="11"/>
      <c r="B64" s="13"/>
      <c r="C64" s="13"/>
      <c r="D64" s="13"/>
    </row>
    <row r="65" spans="1:5" x14ac:dyDescent="0.25">
      <c r="A65" s="11" t="s">
        <v>30</v>
      </c>
      <c r="B65" s="11"/>
      <c r="C65" s="11"/>
      <c r="D65" s="11"/>
    </row>
    <row r="66" spans="1:5" x14ac:dyDescent="0.25">
      <c r="A66" t="s">
        <v>37</v>
      </c>
      <c r="B66" s="9">
        <f>B21/(B12*3)</f>
        <v>634077.42721518991</v>
      </c>
      <c r="C66" s="9">
        <f>C21/(C12*3)</f>
        <v>539140.7183544304</v>
      </c>
      <c r="D66" s="9"/>
    </row>
    <row r="67" spans="1:5" x14ac:dyDescent="0.25">
      <c r="A67" t="s">
        <v>38</v>
      </c>
      <c r="B67" s="9">
        <f>B22/(B14*3)</f>
        <v>441505.94581250002</v>
      </c>
      <c r="C67" s="9">
        <f>C22/(C14*3)</f>
        <v>311795.24524999998</v>
      </c>
      <c r="D67" s="9"/>
    </row>
    <row r="68" spans="1:5" x14ac:dyDescent="0.25">
      <c r="A68" t="s">
        <v>144</v>
      </c>
      <c r="B68" s="9"/>
      <c r="C68" s="9">
        <f>C22/C15</f>
        <v>479684.99269230769</v>
      </c>
      <c r="D68" s="9"/>
    </row>
    <row r="69" spans="1:5" x14ac:dyDescent="0.25">
      <c r="A69" s="11" t="s">
        <v>31</v>
      </c>
      <c r="B69" s="9">
        <f>(B66/B67)*B50</f>
        <v>246.70072119383588</v>
      </c>
      <c r="C69" s="9">
        <f>(C66/C67)*C50</f>
        <v>276.36961051954302</v>
      </c>
      <c r="D69" s="13"/>
    </row>
    <row r="70" spans="1:5" x14ac:dyDescent="0.25">
      <c r="A70" s="13" t="s">
        <v>39</v>
      </c>
      <c r="B70" s="9">
        <f>B21/B12</f>
        <v>1902232.2816455697</v>
      </c>
      <c r="C70" s="9">
        <f>C21/C12</f>
        <v>1617422.1550632911</v>
      </c>
      <c r="D70" s="13"/>
    </row>
    <row r="71" spans="1:5" x14ac:dyDescent="0.25">
      <c r="A71" s="13" t="s">
        <v>40</v>
      </c>
      <c r="B71" s="9">
        <f>B22/(B14)</f>
        <v>1324517.8374375</v>
      </c>
      <c r="C71" s="9">
        <f>C22/(C14)</f>
        <v>935385.73574999999</v>
      </c>
      <c r="D71" s="13"/>
    </row>
    <row r="72" spans="1:5" x14ac:dyDescent="0.25">
      <c r="B72" s="9"/>
      <c r="C72" s="9"/>
      <c r="D72" s="14"/>
    </row>
    <row r="73" spans="1:5" x14ac:dyDescent="0.25">
      <c r="A73" t="s">
        <v>32</v>
      </c>
      <c r="B73" s="14"/>
      <c r="C73" s="14"/>
      <c r="D73" s="14"/>
    </row>
    <row r="74" spans="1:5" x14ac:dyDescent="0.25">
      <c r="A74" s="11" t="s">
        <v>33</v>
      </c>
      <c r="B74" s="13">
        <f>(B28/B27)*100</f>
        <v>126.44699260654291</v>
      </c>
      <c r="C74" s="13"/>
      <c r="D74" s="13"/>
    </row>
    <row r="75" spans="1:5" x14ac:dyDescent="0.25">
      <c r="A75" s="11" t="s">
        <v>34</v>
      </c>
      <c r="B75" s="13">
        <f>(B22/B28)*100</f>
        <v>111.5266482941299</v>
      </c>
      <c r="C75" s="13"/>
      <c r="D75" s="13"/>
    </row>
    <row r="76" spans="1:5" ht="15.75" thickBot="1" x14ac:dyDescent="0.3">
      <c r="A76" s="16"/>
      <c r="B76" s="16"/>
      <c r="C76" s="16"/>
      <c r="D76" s="16"/>
      <c r="E76" s="16"/>
    </row>
    <row r="77" spans="1:5" ht="15.75" thickTop="1" x14ac:dyDescent="0.25"/>
    <row r="78" spans="1:5" x14ac:dyDescent="0.25">
      <c r="A78" t="s">
        <v>35</v>
      </c>
    </row>
    <row r="79" spans="1:5" x14ac:dyDescent="0.25">
      <c r="A79" t="s">
        <v>143</v>
      </c>
    </row>
    <row r="80" spans="1:5" x14ac:dyDescent="0.25">
      <c r="A80" t="s">
        <v>158</v>
      </c>
      <c r="B80" s="5"/>
      <c r="C80" s="5"/>
      <c r="D80" s="5"/>
    </row>
    <row r="82" spans="1:1" x14ac:dyDescent="0.25">
      <c r="A82" t="s">
        <v>167</v>
      </c>
    </row>
    <row r="84" spans="1:1" x14ac:dyDescent="0.25">
      <c r="A84" s="20"/>
    </row>
    <row r="85" spans="1:1" x14ac:dyDescent="0.25">
      <c r="A85" s="21"/>
    </row>
    <row r="86" spans="1:1" x14ac:dyDescent="0.25">
      <c r="A86" s="21"/>
    </row>
  </sheetData>
  <mergeCells count="2">
    <mergeCell ref="A2:D2"/>
    <mergeCell ref="A4:A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6"/>
  <sheetViews>
    <sheetView topLeftCell="A46" workbookViewId="0">
      <selection activeCell="B70" sqref="B70"/>
    </sheetView>
  </sheetViews>
  <sheetFormatPr baseColWidth="10" defaultColWidth="11.42578125" defaultRowHeight="15" x14ac:dyDescent="0.25"/>
  <cols>
    <col min="1" max="1" width="55.140625" customWidth="1"/>
    <col min="2" max="2" width="16.140625" customWidth="1"/>
    <col min="3" max="3" width="15.5703125" customWidth="1"/>
    <col min="4" max="4" width="14.5703125" customWidth="1"/>
    <col min="5" max="5" width="12.7109375" bestFit="1" customWidth="1"/>
  </cols>
  <sheetData>
    <row r="2" spans="1:5" ht="15.75" x14ac:dyDescent="0.25">
      <c r="A2" s="33" t="s">
        <v>98</v>
      </c>
      <c r="B2" s="33"/>
      <c r="C2" s="33"/>
      <c r="D2" s="33"/>
    </row>
    <row r="4" spans="1:5" x14ac:dyDescent="0.25">
      <c r="A4" s="34" t="s">
        <v>0</v>
      </c>
      <c r="B4" s="1" t="s">
        <v>1</v>
      </c>
      <c r="C4" s="18" t="s">
        <v>2</v>
      </c>
      <c r="D4" s="1" t="s">
        <v>5</v>
      </c>
      <c r="E4" s="1" t="s">
        <v>71</v>
      </c>
    </row>
    <row r="5" spans="1:5" ht="15.75" thickBot="1" x14ac:dyDescent="0.3">
      <c r="A5" s="35"/>
      <c r="B5" s="2" t="s">
        <v>3</v>
      </c>
      <c r="C5" s="2" t="s">
        <v>4</v>
      </c>
      <c r="D5" s="2" t="s">
        <v>41</v>
      </c>
      <c r="E5" s="2" t="s">
        <v>72</v>
      </c>
    </row>
    <row r="6" spans="1:5" ht="15.75" thickTop="1" x14ac:dyDescent="0.25"/>
    <row r="7" spans="1:5" x14ac:dyDescent="0.25">
      <c r="A7" s="3" t="s">
        <v>6</v>
      </c>
    </row>
    <row r="9" spans="1:5" x14ac:dyDescent="0.25">
      <c r="A9" t="s">
        <v>7</v>
      </c>
    </row>
    <row r="10" spans="1:5" x14ac:dyDescent="0.25">
      <c r="A10" s="4" t="s">
        <v>155</v>
      </c>
      <c r="B10" s="7">
        <f>C10</f>
        <v>482</v>
      </c>
      <c r="C10" s="7">
        <v>482</v>
      </c>
      <c r="D10" s="5"/>
    </row>
    <row r="11" spans="1:5" x14ac:dyDescent="0.25">
      <c r="A11" s="26" t="s">
        <v>4</v>
      </c>
      <c r="B11" s="27">
        <f>+('I Trimestre'!B11+'II Trimestre'!B11)</f>
        <v>1126</v>
      </c>
      <c r="C11" s="27">
        <f>+('I Trimestre'!C11+'II Trimestre'!C11)</f>
        <v>1126</v>
      </c>
      <c r="D11" s="28"/>
      <c r="E11" s="29"/>
    </row>
    <row r="12" spans="1:5" x14ac:dyDescent="0.25">
      <c r="A12" s="10" t="s">
        <v>163</v>
      </c>
      <c r="B12" s="9">
        <f>C12</f>
        <v>316</v>
      </c>
      <c r="C12" s="9">
        <f>+('I Trimestre'!C12+'II Trimestre'!C12)</f>
        <v>316</v>
      </c>
      <c r="D12" s="31"/>
      <c r="E12" s="11"/>
    </row>
    <row r="13" spans="1:5" x14ac:dyDescent="0.25">
      <c r="A13" s="26" t="s">
        <v>4</v>
      </c>
      <c r="B13" s="27">
        <f>C13</f>
        <v>948</v>
      </c>
      <c r="C13" s="27">
        <f>+('I Trimestre'!C13+'II Trimestre'!C13)</f>
        <v>948</v>
      </c>
      <c r="D13" s="28"/>
      <c r="E13" s="29"/>
    </row>
    <row r="14" spans="1:5" x14ac:dyDescent="0.25">
      <c r="A14" s="4" t="s">
        <v>148</v>
      </c>
      <c r="B14" s="7">
        <v>436</v>
      </c>
      <c r="C14" s="7">
        <v>436</v>
      </c>
      <c r="D14" s="5"/>
    </row>
    <row r="15" spans="1:5" x14ac:dyDescent="0.25">
      <c r="A15" s="26" t="s">
        <v>4</v>
      </c>
      <c r="B15" s="27">
        <f>C15</f>
        <v>1140</v>
      </c>
      <c r="C15" s="27">
        <f>+('I Trimestre'!C15+'II Trimestre'!C15)</f>
        <v>1140</v>
      </c>
      <c r="D15" s="28"/>
      <c r="E15" s="29"/>
    </row>
    <row r="16" spans="1:5" x14ac:dyDescent="0.25">
      <c r="A16" s="10" t="s">
        <v>166</v>
      </c>
      <c r="B16" s="9">
        <f t="shared" ref="B16:B17" si="0">C16</f>
        <v>632</v>
      </c>
      <c r="C16" s="9">
        <f>158*4</f>
        <v>632</v>
      </c>
      <c r="D16" s="31"/>
      <c r="E16" s="11"/>
    </row>
    <row r="17" spans="1:5" x14ac:dyDescent="0.25">
      <c r="A17" s="26" t="s">
        <v>4</v>
      </c>
      <c r="B17" s="27">
        <f t="shared" si="0"/>
        <v>1896</v>
      </c>
      <c r="C17" s="27">
        <f>158*12</f>
        <v>1896</v>
      </c>
      <c r="D17" s="28"/>
      <c r="E17" s="29"/>
    </row>
    <row r="18" spans="1:5" x14ac:dyDescent="0.25">
      <c r="B18" s="5"/>
      <c r="C18" s="5"/>
      <c r="D18" s="5"/>
    </row>
    <row r="19" spans="1:5" x14ac:dyDescent="0.25">
      <c r="A19" s="6" t="s">
        <v>8</v>
      </c>
      <c r="B19" s="5"/>
      <c r="C19" s="5"/>
      <c r="D19" s="5"/>
    </row>
    <row r="20" spans="1:5" x14ac:dyDescent="0.25">
      <c r="A20" s="4" t="s">
        <v>59</v>
      </c>
      <c r="B20" s="9">
        <f>SUM(C20:E20)</f>
        <v>506906394.26999998</v>
      </c>
      <c r="C20" s="9">
        <f>+'I Trimestre'!C20+'II Trimestre'!C20</f>
        <v>506706394.26999998</v>
      </c>
      <c r="D20" s="9">
        <f>+'I Trimestre'!D20+'II Trimestre'!D20</f>
        <v>200000</v>
      </c>
    </row>
    <row r="21" spans="1:5" x14ac:dyDescent="0.25">
      <c r="A21" s="4" t="s">
        <v>101</v>
      </c>
      <c r="B21" s="9">
        <f>SUM(C21:E21)</f>
        <v>601105401</v>
      </c>
      <c r="C21" s="9">
        <f>+'I Trimestre'!C21+'II Trimestre'!C21</f>
        <v>511105401</v>
      </c>
      <c r="D21" s="9">
        <f>+'I Trimestre'!D21+'II Trimestre'!D21</f>
        <v>60000000</v>
      </c>
      <c r="E21" s="9">
        <f>+'I Trimestre'!E21+'II Trimestre'!E21</f>
        <v>30000000</v>
      </c>
    </row>
    <row r="22" spans="1:5" x14ac:dyDescent="0.25">
      <c r="A22" s="4" t="s">
        <v>102</v>
      </c>
      <c r="B22" s="9">
        <f>SUM(C22:D22)</f>
        <v>539164902.77999997</v>
      </c>
      <c r="C22" s="9">
        <f>+'I Trimestre'!C22+'II Trimestre'!C22</f>
        <v>539164902.77999997</v>
      </c>
      <c r="D22" s="9">
        <f>+'I Trimestre'!D22+'II Trimestre'!D22</f>
        <v>0</v>
      </c>
      <c r="E22" s="9">
        <f>+'I Trimestre'!E22+'II Trimestre'!E22</f>
        <v>121753170.45</v>
      </c>
    </row>
    <row r="23" spans="1:5" x14ac:dyDescent="0.25">
      <c r="A23" s="4" t="s">
        <v>82</v>
      </c>
      <c r="B23" s="7">
        <f>+'II Trimestre'!B23</f>
        <v>1202210802</v>
      </c>
      <c r="C23" s="7">
        <f>+'II Trimestre'!C23</f>
        <v>1022210802</v>
      </c>
      <c r="D23" s="7">
        <f>+'II Trimestre'!D23</f>
        <v>120000000</v>
      </c>
      <c r="E23" s="7">
        <f>+'II Trimestre'!E23</f>
        <v>60000000</v>
      </c>
    </row>
    <row r="24" spans="1:5" x14ac:dyDescent="0.25">
      <c r="A24" s="4" t="s">
        <v>103</v>
      </c>
      <c r="B24" s="7">
        <f>C24</f>
        <v>539164902.77999997</v>
      </c>
      <c r="C24" s="7">
        <f>C22</f>
        <v>539164902.77999997</v>
      </c>
      <c r="D24" s="7"/>
    </row>
    <row r="25" spans="1:5" x14ac:dyDescent="0.25">
      <c r="B25" s="7"/>
      <c r="C25" s="7"/>
      <c r="D25" s="7"/>
    </row>
    <row r="26" spans="1:5" x14ac:dyDescent="0.25">
      <c r="A26" s="8" t="s">
        <v>9</v>
      </c>
      <c r="B26" s="9"/>
      <c r="C26" s="9"/>
      <c r="D26" s="9"/>
    </row>
    <row r="27" spans="1:5" x14ac:dyDescent="0.25">
      <c r="A27" s="10" t="s">
        <v>99</v>
      </c>
      <c r="B27" s="9">
        <f>B21</f>
        <v>601105401</v>
      </c>
      <c r="C27" s="9"/>
      <c r="D27" s="9"/>
    </row>
    <row r="28" spans="1:5" x14ac:dyDescent="0.25">
      <c r="A28" s="10" t="s">
        <v>100</v>
      </c>
      <c r="B28" s="7">
        <f>'I Trimestre'!B28+'II Trimestre'!B28</f>
        <v>602633804.63</v>
      </c>
      <c r="C28" s="9"/>
      <c r="D28" s="9"/>
    </row>
    <row r="29" spans="1:5" x14ac:dyDescent="0.25">
      <c r="A29" s="11"/>
      <c r="B29" s="11"/>
      <c r="C29" s="11"/>
      <c r="D29" s="11"/>
    </row>
    <row r="30" spans="1:5" x14ac:dyDescent="0.25">
      <c r="A30" s="11" t="s">
        <v>10</v>
      </c>
      <c r="B30" s="11"/>
      <c r="C30" s="11"/>
      <c r="D30" s="11"/>
    </row>
    <row r="31" spans="1:5" x14ac:dyDescent="0.25">
      <c r="A31" s="10" t="s">
        <v>60</v>
      </c>
      <c r="B31" s="17">
        <v>1.5164078580333333</v>
      </c>
      <c r="C31" s="17">
        <v>1.5164078580333333</v>
      </c>
      <c r="D31" s="17">
        <v>1.5164078580333333</v>
      </c>
      <c r="E31" s="17">
        <v>1.5164078580333333</v>
      </c>
    </row>
    <row r="32" spans="1:5" x14ac:dyDescent="0.25">
      <c r="A32" s="10" t="s">
        <v>104</v>
      </c>
      <c r="B32" s="17">
        <v>1.6071376151833332</v>
      </c>
      <c r="C32" s="17">
        <v>1.6071376151833332</v>
      </c>
      <c r="D32" s="17">
        <v>1.6071376151833332</v>
      </c>
      <c r="E32" s="17">
        <v>1.6071376151833332</v>
      </c>
    </row>
    <row r="33" spans="1:8" x14ac:dyDescent="0.25">
      <c r="A33" s="10" t="s">
        <v>11</v>
      </c>
      <c r="B33" s="9">
        <v>598</v>
      </c>
      <c r="C33" s="9"/>
      <c r="D33" s="9"/>
    </row>
    <row r="34" spans="1:8" x14ac:dyDescent="0.25">
      <c r="A34" s="11"/>
      <c r="B34" s="11"/>
      <c r="C34" s="11"/>
      <c r="D34" s="11"/>
    </row>
    <row r="35" spans="1:8" x14ac:dyDescent="0.25">
      <c r="A35" s="12" t="s">
        <v>12</v>
      </c>
      <c r="B35" s="11"/>
      <c r="C35" s="11"/>
      <c r="D35" s="11"/>
    </row>
    <row r="36" spans="1:8" x14ac:dyDescent="0.25">
      <c r="A36" s="11" t="s">
        <v>61</v>
      </c>
      <c r="B36" s="9">
        <f>B20/B31</f>
        <v>334281038.95967627</v>
      </c>
      <c r="C36" s="9">
        <f>C20/C31</f>
        <v>334149148.32158679</v>
      </c>
      <c r="D36" s="9">
        <f t="shared" ref="D36:E36" si="1">D20/D31</f>
        <v>131890.63808953413</v>
      </c>
      <c r="E36" s="9">
        <f t="shared" si="1"/>
        <v>0</v>
      </c>
    </row>
    <row r="37" spans="1:8" x14ac:dyDescent="0.25">
      <c r="A37" s="11" t="s">
        <v>105</v>
      </c>
      <c r="B37" s="9">
        <f>B22/B32</f>
        <v>335481478.17976063</v>
      </c>
      <c r="C37" s="9">
        <f>C22/C32</f>
        <v>335481478.17976063</v>
      </c>
      <c r="D37" s="9">
        <f t="shared" ref="D37:E37" si="2">D22/D32</f>
        <v>0</v>
      </c>
      <c r="E37" s="9">
        <f t="shared" si="2"/>
        <v>75757775.376386225</v>
      </c>
    </row>
    <row r="38" spans="1:8" x14ac:dyDescent="0.25">
      <c r="A38" s="11" t="s">
        <v>62</v>
      </c>
      <c r="B38" s="9">
        <f>B36/B10</f>
        <v>693529.12647235743</v>
      </c>
      <c r="C38" s="9">
        <f>C36/$C10</f>
        <v>693255.49444312614</v>
      </c>
      <c r="D38" s="9">
        <f t="shared" ref="D38:E38" si="3">D36/$C10</f>
        <v>273.63202923139863</v>
      </c>
      <c r="E38" s="9">
        <f t="shared" si="3"/>
        <v>0</v>
      </c>
    </row>
    <row r="39" spans="1:8" x14ac:dyDescent="0.25">
      <c r="A39" s="11" t="s">
        <v>106</v>
      </c>
      <c r="B39" s="9">
        <f>B37/B14</f>
        <v>769452.93160495558</v>
      </c>
      <c r="C39" s="9">
        <f>C37/$C14</f>
        <v>769452.93160495558</v>
      </c>
      <c r="D39" s="9">
        <f t="shared" ref="D39:E39" si="4">D37/$C14</f>
        <v>0</v>
      </c>
      <c r="E39" s="9">
        <f t="shared" si="4"/>
        <v>173756.36554217024</v>
      </c>
    </row>
    <row r="41" spans="1:8" x14ac:dyDescent="0.25">
      <c r="A41" s="3" t="s">
        <v>13</v>
      </c>
    </row>
    <row r="43" spans="1:8" x14ac:dyDescent="0.25">
      <c r="A43" t="s">
        <v>14</v>
      </c>
    </row>
    <row r="44" spans="1:8" x14ac:dyDescent="0.25">
      <c r="A44" t="s">
        <v>15</v>
      </c>
      <c r="B44" s="30">
        <f>(B12/B33)*100</f>
        <v>52.842809364548494</v>
      </c>
      <c r="C44" s="15"/>
      <c r="D44" s="13"/>
      <c r="E44" s="11"/>
      <c r="F44" s="11"/>
      <c r="G44" s="11"/>
      <c r="H44" s="11"/>
    </row>
    <row r="45" spans="1:8" x14ac:dyDescent="0.25">
      <c r="A45" t="s">
        <v>16</v>
      </c>
      <c r="B45" s="15">
        <f>(B14*100)/(B33)</f>
        <v>72.909698996655521</v>
      </c>
      <c r="C45" s="15"/>
      <c r="D45" s="13"/>
    </row>
    <row r="47" spans="1:8" x14ac:dyDescent="0.25">
      <c r="A47" t="s">
        <v>17</v>
      </c>
    </row>
    <row r="48" spans="1:8" x14ac:dyDescent="0.25">
      <c r="A48" t="s">
        <v>18</v>
      </c>
      <c r="B48" s="14">
        <f>(B14/B12)*100</f>
        <v>137.97468354430379</v>
      </c>
      <c r="C48" s="14">
        <f>(C14/C12)*100</f>
        <v>137.97468354430379</v>
      </c>
      <c r="D48" s="14"/>
    </row>
    <row r="49" spans="1:5" x14ac:dyDescent="0.25">
      <c r="A49" t="s">
        <v>19</v>
      </c>
      <c r="B49" s="14">
        <f>B22/B21*100</f>
        <v>89.695567846012409</v>
      </c>
      <c r="C49" s="14">
        <f>C22/C21*100</f>
        <v>105.48996385581142</v>
      </c>
      <c r="D49" s="14">
        <f>D22/D21*100</f>
        <v>0</v>
      </c>
      <c r="E49" s="14">
        <f>E22/E21*100</f>
        <v>405.84390150000002</v>
      </c>
    </row>
    <row r="50" spans="1:5" x14ac:dyDescent="0.25">
      <c r="A50" s="11" t="s">
        <v>20</v>
      </c>
      <c r="B50" s="13">
        <f>AVERAGE(B48:B49)</f>
        <v>113.8351256951581</v>
      </c>
      <c r="C50" s="13">
        <f>AVERAGE(C48:C49)</f>
        <v>121.73232370005761</v>
      </c>
      <c r="D50" s="13"/>
    </row>
    <row r="51" spans="1:5" x14ac:dyDescent="0.25">
      <c r="A51" s="11"/>
      <c r="B51" s="13"/>
      <c r="C51" s="13"/>
      <c r="D51" s="13"/>
    </row>
    <row r="52" spans="1:5" x14ac:dyDescent="0.25">
      <c r="A52" s="11" t="s">
        <v>21</v>
      </c>
      <c r="B52" s="11"/>
      <c r="C52" s="11"/>
      <c r="D52" s="11"/>
    </row>
    <row r="53" spans="1:5" x14ac:dyDescent="0.25">
      <c r="A53" s="11" t="s">
        <v>22</v>
      </c>
      <c r="B53" s="13">
        <f>(B14/B16)*100</f>
        <v>68.987341772151893</v>
      </c>
      <c r="C53" s="13">
        <f>(C14/C16)*100</f>
        <v>68.987341772151893</v>
      </c>
      <c r="D53" s="13"/>
    </row>
    <row r="54" spans="1:5" x14ac:dyDescent="0.25">
      <c r="A54" s="11" t="s">
        <v>23</v>
      </c>
      <c r="B54" s="13">
        <f>B22/B23*100</f>
        <v>44.847783923006205</v>
      </c>
      <c r="C54" s="13">
        <f>C22/C23*100</f>
        <v>52.744981927905712</v>
      </c>
      <c r="D54" s="13">
        <f>D22/D23*100</f>
        <v>0</v>
      </c>
      <c r="E54" s="13">
        <f>E22/E23*100</f>
        <v>202.92195075000001</v>
      </c>
    </row>
    <row r="55" spans="1:5" x14ac:dyDescent="0.25">
      <c r="A55" s="11" t="s">
        <v>24</v>
      </c>
      <c r="B55" s="13">
        <f>(B53+B54)/2</f>
        <v>56.917562847579049</v>
      </c>
      <c r="C55" s="13">
        <f>(C53+C54)/2</f>
        <v>60.866161850028803</v>
      </c>
      <c r="D55" s="13"/>
    </row>
    <row r="56" spans="1:5" x14ac:dyDescent="0.25">
      <c r="A56" s="11"/>
      <c r="B56" s="11"/>
      <c r="C56" s="11"/>
      <c r="D56" s="11"/>
    </row>
    <row r="57" spans="1:5" x14ac:dyDescent="0.25">
      <c r="A57" s="11" t="s">
        <v>36</v>
      </c>
      <c r="B57" s="11"/>
      <c r="C57" s="11"/>
      <c r="D57" s="11"/>
    </row>
    <row r="58" spans="1:5" x14ac:dyDescent="0.25">
      <c r="A58" s="11" t="s">
        <v>25</v>
      </c>
      <c r="B58" s="15">
        <f>(B24/B22)*100</f>
        <v>100</v>
      </c>
      <c r="C58" s="13"/>
      <c r="D58" s="13"/>
    </row>
    <row r="59" spans="1:5" x14ac:dyDescent="0.25">
      <c r="A59" s="11"/>
      <c r="B59" s="11"/>
      <c r="C59" s="11"/>
      <c r="D59" s="11"/>
    </row>
    <row r="60" spans="1:5" x14ac:dyDescent="0.25">
      <c r="A60" s="11" t="s">
        <v>26</v>
      </c>
      <c r="B60" s="11"/>
      <c r="C60" s="11"/>
      <c r="D60" s="11"/>
    </row>
    <row r="61" spans="1:5" x14ac:dyDescent="0.25">
      <c r="A61" s="11" t="s">
        <v>27</v>
      </c>
      <c r="B61" s="14">
        <f>((B14/B10)-1)*100</f>
        <v>-9.5435684647302903</v>
      </c>
      <c r="C61" s="14">
        <f>((C14/C10)-1)*100</f>
        <v>-9.5435684647302903</v>
      </c>
      <c r="D61" s="13"/>
    </row>
    <row r="62" spans="1:5" x14ac:dyDescent="0.25">
      <c r="A62" s="11" t="s">
        <v>28</v>
      </c>
      <c r="B62" s="14">
        <f>((B37/B36)-1)*100</f>
        <v>0.35911077212762432</v>
      </c>
      <c r="C62" s="14">
        <f>((C37/C36)-1)*100</f>
        <v>0.39872310459747595</v>
      </c>
      <c r="D62" s="14">
        <f t="shared" ref="D62:E62" si="5">((D37/D36)-1)*100</f>
        <v>-100</v>
      </c>
      <c r="E62" s="14" t="e">
        <f t="shared" si="5"/>
        <v>#DIV/0!</v>
      </c>
    </row>
    <row r="63" spans="1:5" x14ac:dyDescent="0.25">
      <c r="A63" s="11" t="s">
        <v>29</v>
      </c>
      <c r="B63" s="14">
        <f>((B39/B38)-1)*100</f>
        <v>10.947457321480547</v>
      </c>
      <c r="C63" s="14">
        <f>((C39/C38)-1)*100</f>
        <v>10.991248936733889</v>
      </c>
      <c r="D63" s="13"/>
    </row>
    <row r="64" spans="1:5" x14ac:dyDescent="0.25">
      <c r="A64" s="11"/>
      <c r="B64" s="13"/>
      <c r="C64" s="13"/>
      <c r="D64" s="13"/>
    </row>
    <row r="65" spans="1:4" x14ac:dyDescent="0.25">
      <c r="A65" s="11" t="s">
        <v>30</v>
      </c>
      <c r="B65" s="11"/>
      <c r="C65" s="11"/>
      <c r="D65" s="11"/>
    </row>
    <row r="66" spans="1:4" x14ac:dyDescent="0.25">
      <c r="A66" t="s">
        <v>37</v>
      </c>
      <c r="B66" s="9">
        <f>B21/(B12*3)</f>
        <v>634077.42721518991</v>
      </c>
      <c r="C66" s="9">
        <f>C21/(C12*3)</f>
        <v>539140.7183544304</v>
      </c>
      <c r="D66" s="9"/>
    </row>
    <row r="67" spans="1:4" x14ac:dyDescent="0.25">
      <c r="A67" t="s">
        <v>38</v>
      </c>
      <c r="B67" s="9">
        <f>B22/(B14*3)</f>
        <v>412205.58316513762</v>
      </c>
      <c r="C67" s="9">
        <f>C22/(C14*3)</f>
        <v>412205.58316513762</v>
      </c>
      <c r="D67" s="9"/>
    </row>
    <row r="68" spans="1:4" x14ac:dyDescent="0.25">
      <c r="A68" t="s">
        <v>144</v>
      </c>
      <c r="B68" s="9"/>
      <c r="C68" s="9">
        <f>C22/C15</f>
        <v>472951.66910526314</v>
      </c>
      <c r="D68" s="9"/>
    </row>
    <row r="69" spans="1:4" x14ac:dyDescent="0.25">
      <c r="A69" s="11" t="s">
        <v>31</v>
      </c>
      <c r="B69" s="9">
        <f>(B66/B67)*B50</f>
        <v>175.10748659264706</v>
      </c>
      <c r="C69" s="9">
        <f>(C66/C67)*C50</f>
        <v>159.21873726855881</v>
      </c>
      <c r="D69" s="13"/>
    </row>
    <row r="70" spans="1:4" x14ac:dyDescent="0.25">
      <c r="A70" s="13" t="s">
        <v>75</v>
      </c>
      <c r="B70" s="9">
        <f>B21/B12</f>
        <v>1902232.2816455697</v>
      </c>
      <c r="C70" s="9">
        <f>C21/C12</f>
        <v>1617422.1550632911</v>
      </c>
      <c r="D70" s="13"/>
    </row>
    <row r="71" spans="1:4" x14ac:dyDescent="0.25">
      <c r="A71" s="13" t="s">
        <v>76</v>
      </c>
      <c r="B71" s="9">
        <f>B22/(B14)</f>
        <v>1236616.7494954127</v>
      </c>
      <c r="C71" s="9">
        <f>C22/(C14)</f>
        <v>1236616.7494954127</v>
      </c>
      <c r="D71" s="13"/>
    </row>
    <row r="72" spans="1:4" x14ac:dyDescent="0.25">
      <c r="B72" s="9"/>
      <c r="C72" s="9"/>
      <c r="D72" s="14"/>
    </row>
    <row r="73" spans="1:4" x14ac:dyDescent="0.25">
      <c r="A73" t="s">
        <v>32</v>
      </c>
      <c r="B73" s="14"/>
      <c r="C73" s="14"/>
      <c r="D73" s="14"/>
    </row>
    <row r="74" spans="1:4" x14ac:dyDescent="0.25">
      <c r="A74" s="11" t="s">
        <v>33</v>
      </c>
      <c r="B74" s="13">
        <f>(B28/B27)*100</f>
        <v>100.25426549611056</v>
      </c>
      <c r="C74" s="13"/>
      <c r="D74" s="13"/>
    </row>
    <row r="75" spans="1:4" x14ac:dyDescent="0.25">
      <c r="A75" s="11" t="s">
        <v>34</v>
      </c>
      <c r="B75" s="13">
        <f>(B22/B28)*100</f>
        <v>89.468081385018195</v>
      </c>
      <c r="C75" s="13"/>
      <c r="D75" s="13"/>
    </row>
    <row r="76" spans="1:4" ht="15.75" thickBot="1" x14ac:dyDescent="0.3">
      <c r="A76" s="16"/>
      <c r="B76" s="16"/>
      <c r="C76" s="16"/>
      <c r="D76" s="16"/>
    </row>
    <row r="77" spans="1:4" ht="15.75" thickTop="1" x14ac:dyDescent="0.25"/>
    <row r="78" spans="1:4" x14ac:dyDescent="0.25">
      <c r="A78" t="s">
        <v>35</v>
      </c>
    </row>
    <row r="79" spans="1:4" x14ac:dyDescent="0.25">
      <c r="A79" t="s">
        <v>143</v>
      </c>
    </row>
    <row r="80" spans="1:4" x14ac:dyDescent="0.25">
      <c r="A80" t="s">
        <v>158</v>
      </c>
      <c r="B80" s="5"/>
      <c r="C80" s="5"/>
      <c r="D80" s="5"/>
    </row>
    <row r="82" spans="1:1" x14ac:dyDescent="0.25">
      <c r="A82" t="s">
        <v>167</v>
      </c>
    </row>
    <row r="84" spans="1:1" x14ac:dyDescent="0.25">
      <c r="A84" s="20"/>
    </row>
    <row r="85" spans="1:1" x14ac:dyDescent="0.25">
      <c r="A85" s="21"/>
    </row>
    <row r="86" spans="1:1" x14ac:dyDescent="0.25">
      <c r="A86" s="21"/>
    </row>
  </sheetData>
  <mergeCells count="2">
    <mergeCell ref="A2:D2"/>
    <mergeCell ref="A4:A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6"/>
  <sheetViews>
    <sheetView workbookViewId="0">
      <selection activeCell="C66" sqref="C66"/>
    </sheetView>
  </sheetViews>
  <sheetFormatPr baseColWidth="10" defaultColWidth="11.42578125" defaultRowHeight="15" x14ac:dyDescent="0.25"/>
  <cols>
    <col min="1" max="1" width="55.140625" customWidth="1"/>
    <col min="2" max="2" width="16.140625" customWidth="1"/>
    <col min="3" max="3" width="15.5703125" customWidth="1"/>
    <col min="4" max="4" width="14.5703125" customWidth="1"/>
    <col min="5" max="5" width="12.7109375" bestFit="1" customWidth="1"/>
  </cols>
  <sheetData>
    <row r="2" spans="1:5" ht="15.75" x14ac:dyDescent="0.25">
      <c r="A2" s="33" t="s">
        <v>89</v>
      </c>
      <c r="B2" s="33"/>
      <c r="C2" s="33"/>
      <c r="D2" s="33"/>
    </row>
    <row r="4" spans="1:5" x14ac:dyDescent="0.25">
      <c r="A4" s="34" t="s">
        <v>0</v>
      </c>
      <c r="B4" s="1" t="s">
        <v>1</v>
      </c>
      <c r="C4" s="18" t="s">
        <v>2</v>
      </c>
      <c r="D4" s="1" t="s">
        <v>5</v>
      </c>
      <c r="E4" s="1" t="s">
        <v>71</v>
      </c>
    </row>
    <row r="5" spans="1:5" ht="15.75" thickBot="1" x14ac:dyDescent="0.3">
      <c r="A5" s="35"/>
      <c r="B5" s="2" t="s">
        <v>3</v>
      </c>
      <c r="C5" s="2" t="s">
        <v>4</v>
      </c>
      <c r="D5" s="2" t="s">
        <v>41</v>
      </c>
      <c r="E5" s="2" t="s">
        <v>72</v>
      </c>
    </row>
    <row r="6" spans="1:5" ht="15.75" thickTop="1" x14ac:dyDescent="0.25"/>
    <row r="7" spans="1:5" x14ac:dyDescent="0.25">
      <c r="A7" s="3" t="s">
        <v>6</v>
      </c>
    </row>
    <row r="9" spans="1:5" x14ac:dyDescent="0.25">
      <c r="A9" t="s">
        <v>7</v>
      </c>
    </row>
    <row r="10" spans="1:5" x14ac:dyDescent="0.25">
      <c r="A10" s="4" t="s">
        <v>156</v>
      </c>
      <c r="B10" s="7">
        <f t="shared" ref="B10:B17" si="0">C10</f>
        <v>628</v>
      </c>
      <c r="C10" s="7">
        <v>628</v>
      </c>
      <c r="D10" s="5"/>
    </row>
    <row r="11" spans="1:5" x14ac:dyDescent="0.25">
      <c r="A11" s="26" t="s">
        <v>4</v>
      </c>
      <c r="B11" s="27">
        <f t="shared" si="0"/>
        <v>1698</v>
      </c>
      <c r="C11" s="27">
        <f>+('I Trimestre'!C11+'II Trimestre'!C11+'III Trimestre'!C11)</f>
        <v>1698</v>
      </c>
      <c r="D11" s="28"/>
      <c r="E11" s="29"/>
    </row>
    <row r="12" spans="1:5" x14ac:dyDescent="0.25">
      <c r="A12" s="10" t="s">
        <v>164</v>
      </c>
      <c r="B12" s="9">
        <f t="shared" si="0"/>
        <v>474</v>
      </c>
      <c r="C12" s="9">
        <f>+('I Trimestre'!C12+'II Trimestre'!C12+'III Trimestre'!C12)</f>
        <v>474</v>
      </c>
      <c r="D12" s="31"/>
      <c r="E12" s="11"/>
    </row>
    <row r="13" spans="1:5" x14ac:dyDescent="0.25">
      <c r="A13" s="26" t="s">
        <v>4</v>
      </c>
      <c r="B13" s="27">
        <f t="shared" ref="B13" si="1">C13</f>
        <v>1422</v>
      </c>
      <c r="C13" s="27">
        <f>+('I Trimestre'!C13+'II Trimestre'!C13+'III Trimestre'!C13)</f>
        <v>1422</v>
      </c>
      <c r="D13" s="28"/>
      <c r="E13" s="29"/>
    </row>
    <row r="14" spans="1:5" x14ac:dyDescent="0.25">
      <c r="A14" s="4" t="s">
        <v>149</v>
      </c>
      <c r="B14" s="7">
        <v>603</v>
      </c>
      <c r="C14" s="7">
        <v>603</v>
      </c>
      <c r="D14" s="5"/>
    </row>
    <row r="15" spans="1:5" x14ac:dyDescent="0.25">
      <c r="A15" s="26" t="s">
        <v>4</v>
      </c>
      <c r="B15" s="27">
        <f t="shared" si="0"/>
        <v>1778</v>
      </c>
      <c r="C15" s="27">
        <f>+('I Trimestre'!C15+'II Trimestre'!C15+'III Trimestre'!C15)</f>
        <v>1778</v>
      </c>
      <c r="D15" s="28"/>
      <c r="E15" s="29"/>
    </row>
    <row r="16" spans="1:5" x14ac:dyDescent="0.25">
      <c r="A16" s="10" t="s">
        <v>166</v>
      </c>
      <c r="B16" s="9">
        <f t="shared" si="0"/>
        <v>632</v>
      </c>
      <c r="C16" s="9">
        <f>158*4</f>
        <v>632</v>
      </c>
      <c r="D16" s="31"/>
      <c r="E16" s="11"/>
    </row>
    <row r="17" spans="1:5" x14ac:dyDescent="0.25">
      <c r="A17" s="26" t="s">
        <v>4</v>
      </c>
      <c r="B17" s="27">
        <f t="shared" si="0"/>
        <v>1896</v>
      </c>
      <c r="C17" s="27">
        <f>158*12</f>
        <v>1896</v>
      </c>
      <c r="D17" s="28"/>
      <c r="E17" s="29"/>
    </row>
    <row r="18" spans="1:5" x14ac:dyDescent="0.25">
      <c r="B18" s="5"/>
      <c r="C18" s="7"/>
      <c r="D18" s="5"/>
    </row>
    <row r="19" spans="1:5" x14ac:dyDescent="0.25">
      <c r="A19" s="6" t="s">
        <v>8</v>
      </c>
      <c r="B19" s="5"/>
      <c r="C19" s="5"/>
      <c r="D19" s="5"/>
    </row>
    <row r="20" spans="1:5" x14ac:dyDescent="0.25">
      <c r="A20" s="4" t="s">
        <v>63</v>
      </c>
      <c r="B20" s="9">
        <f>SUM(C20:E20)</f>
        <v>769906394.26999998</v>
      </c>
      <c r="C20" s="9">
        <f>+'I Trimestre'!C20+'II Trimestre'!C20+'III Trimestre'!C20</f>
        <v>769706394.26999998</v>
      </c>
      <c r="D20" s="9">
        <f>+'I Trimestre'!D20+'II Trimestre'!D20+'III Trimestre'!D20</f>
        <v>200000</v>
      </c>
    </row>
    <row r="21" spans="1:5" x14ac:dyDescent="0.25">
      <c r="A21" s="4" t="s">
        <v>92</v>
      </c>
      <c r="B21" s="9">
        <f>SUM(C21:E21)</f>
        <v>901658101.5</v>
      </c>
      <c r="C21" s="9">
        <f>+'I Trimestre'!C21+'II Trimestre'!C21+'III Trimestre'!C21</f>
        <v>766658101.5</v>
      </c>
      <c r="D21" s="9">
        <f>+'I Trimestre'!D21+'II Trimestre'!D21+'III Trimestre'!D21</f>
        <v>90000000</v>
      </c>
      <c r="E21" s="9">
        <f>+'I Trimestre'!E21+'II Trimestre'!E21+'III Trimestre'!E21</f>
        <v>45000000</v>
      </c>
    </row>
    <row r="22" spans="1:5" x14ac:dyDescent="0.25">
      <c r="A22" s="4" t="s">
        <v>93</v>
      </c>
      <c r="B22" s="9">
        <f t="shared" ref="B22" si="2">SUM(C22:E22)</f>
        <v>1016182890.9499999</v>
      </c>
      <c r="C22" s="9">
        <f>+'I Trimestre'!C22+'II Trimestre'!C22+'III Trimestre'!C22</f>
        <v>899223847.77999997</v>
      </c>
      <c r="D22" s="9">
        <f>+'I Trimestre'!D22+'II Trimestre'!D22+'III Trimestre'!D22</f>
        <v>0</v>
      </c>
      <c r="E22" s="9">
        <f>+'I Trimestre'!E22+'II Trimestre'!E22+'III Trimestre'!E22</f>
        <v>116959043.17</v>
      </c>
    </row>
    <row r="23" spans="1:5" x14ac:dyDescent="0.25">
      <c r="A23" s="4" t="s">
        <v>82</v>
      </c>
      <c r="B23" s="7">
        <f>+'III Trimestre'!B23</f>
        <v>1202210802</v>
      </c>
      <c r="C23" s="7">
        <f>+'III Trimestre'!C23</f>
        <v>1022210802</v>
      </c>
      <c r="D23" s="7">
        <f>+'III Trimestre'!D23</f>
        <v>120000000</v>
      </c>
      <c r="E23" s="7">
        <f>+'III Trimestre'!E23</f>
        <v>60000000</v>
      </c>
    </row>
    <row r="24" spans="1:5" x14ac:dyDescent="0.25">
      <c r="A24" s="4" t="s">
        <v>94</v>
      </c>
      <c r="B24" s="7">
        <f>C24</f>
        <v>899223847.77999997</v>
      </c>
      <c r="C24" s="7">
        <f>C22</f>
        <v>899223847.77999997</v>
      </c>
      <c r="D24" s="7"/>
    </row>
    <row r="25" spans="1:5" x14ac:dyDescent="0.25">
      <c r="B25" s="7"/>
      <c r="C25" s="7"/>
      <c r="D25" s="7"/>
    </row>
    <row r="26" spans="1:5" x14ac:dyDescent="0.25">
      <c r="A26" s="8" t="s">
        <v>9</v>
      </c>
      <c r="B26" s="9"/>
      <c r="C26" s="9"/>
      <c r="D26" s="9"/>
    </row>
    <row r="27" spans="1:5" x14ac:dyDescent="0.25">
      <c r="A27" s="10" t="s">
        <v>90</v>
      </c>
      <c r="B27" s="9">
        <f>B21</f>
        <v>901658101.5</v>
      </c>
      <c r="C27" s="9"/>
      <c r="D27" s="9"/>
    </row>
    <row r="28" spans="1:5" x14ac:dyDescent="0.25">
      <c r="A28" s="10" t="s">
        <v>91</v>
      </c>
      <c r="B28" s="7">
        <f>'I Trimestre'!B28+'II Trimestre'!B28+'III Trimestre'!B28</f>
        <v>938766469.1099999</v>
      </c>
      <c r="C28" s="9"/>
      <c r="D28" s="9"/>
    </row>
    <row r="29" spans="1:5" x14ac:dyDescent="0.25">
      <c r="A29" s="11"/>
      <c r="B29" s="11"/>
      <c r="C29" s="11"/>
      <c r="D29" s="11"/>
    </row>
    <row r="30" spans="1:5" x14ac:dyDescent="0.25">
      <c r="A30" s="11" t="s">
        <v>10</v>
      </c>
      <c r="B30" s="11"/>
      <c r="C30" s="11"/>
      <c r="D30" s="11"/>
    </row>
    <row r="31" spans="1:5" x14ac:dyDescent="0.25">
      <c r="A31" s="10" t="s">
        <v>64</v>
      </c>
      <c r="B31" s="17">
        <v>1.523505238688889</v>
      </c>
      <c r="C31" s="17">
        <v>1.523505238688889</v>
      </c>
      <c r="D31" s="17">
        <v>1.523505238688889</v>
      </c>
      <c r="E31" s="17">
        <v>1.523505238688889</v>
      </c>
    </row>
    <row r="32" spans="1:5" x14ac:dyDescent="0.25">
      <c r="A32" s="10" t="s">
        <v>95</v>
      </c>
      <c r="B32" s="17">
        <v>1.6128472990111107</v>
      </c>
      <c r="C32" s="17">
        <v>1.6128472990111107</v>
      </c>
      <c r="D32" s="17">
        <v>1.6128472990111107</v>
      </c>
      <c r="E32" s="17">
        <v>1.6128472990111107</v>
      </c>
    </row>
    <row r="33" spans="1:8" x14ac:dyDescent="0.25">
      <c r="A33" s="10" t="s">
        <v>11</v>
      </c>
      <c r="B33" s="9">
        <v>598</v>
      </c>
      <c r="C33" s="9"/>
      <c r="D33" s="9"/>
    </row>
    <row r="34" spans="1:8" x14ac:dyDescent="0.25">
      <c r="A34" s="11"/>
      <c r="B34" s="11"/>
      <c r="C34" s="11"/>
      <c r="D34" s="11"/>
    </row>
    <row r="35" spans="1:8" x14ac:dyDescent="0.25">
      <c r="A35" s="12" t="s">
        <v>12</v>
      </c>
      <c r="B35" s="11"/>
      <c r="C35" s="11"/>
      <c r="D35" s="11"/>
    </row>
    <row r="36" spans="1:8" x14ac:dyDescent="0.25">
      <c r="A36" s="11" t="s">
        <v>65</v>
      </c>
      <c r="B36" s="9">
        <f>B20/B31</f>
        <v>505351983.51701927</v>
      </c>
      <c r="C36" s="9">
        <f>C20/C31</f>
        <v>505220707.30285144</v>
      </c>
      <c r="D36" s="9">
        <f t="shared" ref="D36:E36" si="3">D20/D31</f>
        <v>131276.21416787361</v>
      </c>
      <c r="E36" s="9">
        <f t="shared" si="3"/>
        <v>0</v>
      </c>
    </row>
    <row r="37" spans="1:8" x14ac:dyDescent="0.25">
      <c r="A37" s="11" t="s">
        <v>96</v>
      </c>
      <c r="B37" s="9">
        <f>B22/B32</f>
        <v>630055239.31066179</v>
      </c>
      <c r="C37" s="9">
        <f>C22/C32</f>
        <v>557538118.04213798</v>
      </c>
      <c r="D37" s="9">
        <f t="shared" ref="D37:E37" si="4">D22/D32</f>
        <v>0</v>
      </c>
      <c r="E37" s="9">
        <f t="shared" si="4"/>
        <v>72517121.268523932</v>
      </c>
    </row>
    <row r="38" spans="1:8" x14ac:dyDescent="0.25">
      <c r="A38" s="11" t="s">
        <v>66</v>
      </c>
      <c r="B38" s="9">
        <f>B36/B10</f>
        <v>804700.61069589062</v>
      </c>
      <c r="C38" s="9">
        <f>C36/$C10</f>
        <v>804491.57213829842</v>
      </c>
      <c r="D38" s="9">
        <f t="shared" ref="D38:E38" si="5">D36/$C10</f>
        <v>209.03855759215543</v>
      </c>
      <c r="E38" s="9">
        <f t="shared" si="5"/>
        <v>0</v>
      </c>
    </row>
    <row r="39" spans="1:8" x14ac:dyDescent="0.25">
      <c r="A39" s="11" t="s">
        <v>97</v>
      </c>
      <c r="B39" s="9">
        <f>B37/B14</f>
        <v>1044867.7268833529</v>
      </c>
      <c r="C39" s="9">
        <f>C37/$C14</f>
        <v>924607.16093223542</v>
      </c>
      <c r="D39" s="9">
        <f t="shared" ref="D39:E39" si="6">D37/$C14</f>
        <v>0</v>
      </c>
      <c r="E39" s="9">
        <f t="shared" si="6"/>
        <v>120260.56595111763</v>
      </c>
    </row>
    <row r="41" spans="1:8" x14ac:dyDescent="0.25">
      <c r="A41" s="3" t="s">
        <v>13</v>
      </c>
    </row>
    <row r="43" spans="1:8" x14ac:dyDescent="0.25">
      <c r="A43" t="s">
        <v>14</v>
      </c>
    </row>
    <row r="44" spans="1:8" x14ac:dyDescent="0.25">
      <c r="A44" t="s">
        <v>15</v>
      </c>
      <c r="B44" s="30">
        <f>(B12/B33)*100</f>
        <v>79.264214046822744</v>
      </c>
      <c r="C44" s="15"/>
      <c r="D44" s="13"/>
      <c r="E44" s="11"/>
      <c r="F44" s="11"/>
      <c r="G44" s="11"/>
      <c r="H44" s="11"/>
    </row>
    <row r="45" spans="1:8" x14ac:dyDescent="0.25">
      <c r="A45" t="s">
        <v>16</v>
      </c>
      <c r="B45" s="15">
        <f>(B14*100)/(B33)</f>
        <v>100.83612040133779</v>
      </c>
      <c r="C45" s="15"/>
      <c r="D45" s="13"/>
    </row>
    <row r="47" spans="1:8" x14ac:dyDescent="0.25">
      <c r="A47" t="s">
        <v>17</v>
      </c>
    </row>
    <row r="48" spans="1:8" x14ac:dyDescent="0.25">
      <c r="A48" t="s">
        <v>18</v>
      </c>
      <c r="B48" s="14">
        <f>(B14/B12)*100</f>
        <v>127.21518987341771</v>
      </c>
      <c r="C48" s="14">
        <f>(C14/C12)*100</f>
        <v>127.21518987341771</v>
      </c>
      <c r="D48" s="14"/>
    </row>
    <row r="49" spans="1:5" x14ac:dyDescent="0.25">
      <c r="A49" t="s">
        <v>19</v>
      </c>
      <c r="B49" s="14">
        <f>B22/B21*100</f>
        <v>112.70157604744817</v>
      </c>
      <c r="C49" s="14">
        <f>C22/C21*100</f>
        <v>117.29137747590866</v>
      </c>
      <c r="D49" s="14">
        <f>D22/D21*100</f>
        <v>0</v>
      </c>
      <c r="E49" s="14">
        <f>E22/E21*100</f>
        <v>259.90898482222224</v>
      </c>
    </row>
    <row r="50" spans="1:5" x14ac:dyDescent="0.25">
      <c r="A50" s="11" t="s">
        <v>20</v>
      </c>
      <c r="B50" s="13">
        <f>AVERAGE(B48:B49)</f>
        <v>119.95838296043294</v>
      </c>
      <c r="C50" s="13">
        <f>AVERAGE(C48:C49)</f>
        <v>122.25328367466318</v>
      </c>
      <c r="D50" s="13"/>
    </row>
    <row r="51" spans="1:5" x14ac:dyDescent="0.25">
      <c r="A51" s="11"/>
      <c r="B51" s="13"/>
      <c r="C51" s="13"/>
      <c r="D51" s="13"/>
    </row>
    <row r="52" spans="1:5" x14ac:dyDescent="0.25">
      <c r="A52" s="11" t="s">
        <v>21</v>
      </c>
      <c r="B52" s="11"/>
      <c r="C52" s="11"/>
      <c r="D52" s="11"/>
    </row>
    <row r="53" spans="1:5" x14ac:dyDescent="0.25">
      <c r="A53" s="11" t="s">
        <v>22</v>
      </c>
      <c r="B53" s="13">
        <f>(B14/B16)*100</f>
        <v>95.411392405063282</v>
      </c>
      <c r="C53" s="13">
        <f>(C14/C16)*100</f>
        <v>95.411392405063282</v>
      </c>
      <c r="D53" s="13"/>
    </row>
    <row r="54" spans="1:5" x14ac:dyDescent="0.25">
      <c r="A54" s="11" t="s">
        <v>23</v>
      </c>
      <c r="B54" s="13">
        <f>B22/B23*100</f>
        <v>84.526182035586132</v>
      </c>
      <c r="C54" s="13">
        <f>C22/C23*100</f>
        <v>87.968533106931503</v>
      </c>
      <c r="D54" s="13">
        <f>D22/D23*100</f>
        <v>0</v>
      </c>
      <c r="E54" s="13">
        <f>E22/E23*100</f>
        <v>194.93173861666665</v>
      </c>
    </row>
    <row r="55" spans="1:5" x14ac:dyDescent="0.25">
      <c r="A55" s="11" t="s">
        <v>24</v>
      </c>
      <c r="B55" s="13">
        <f>(B53+B54)/2</f>
        <v>89.968787220324714</v>
      </c>
      <c r="C55" s="13">
        <f>(C53+C54)/2</f>
        <v>91.689962755997385</v>
      </c>
      <c r="D55" s="13"/>
    </row>
    <row r="56" spans="1:5" x14ac:dyDescent="0.25">
      <c r="A56" s="11"/>
      <c r="B56" s="11"/>
      <c r="C56" s="11"/>
      <c r="D56" s="11"/>
    </row>
    <row r="57" spans="1:5" x14ac:dyDescent="0.25">
      <c r="A57" s="11" t="s">
        <v>36</v>
      </c>
      <c r="B57" s="11"/>
      <c r="C57" s="11"/>
      <c r="D57" s="11"/>
    </row>
    <row r="58" spans="1:5" x14ac:dyDescent="0.25">
      <c r="A58" s="11" t="s">
        <v>25</v>
      </c>
      <c r="B58" s="15">
        <f>(B24/B22)*100</f>
        <v>88.490355012702651</v>
      </c>
      <c r="C58" s="13"/>
      <c r="D58" s="13"/>
    </row>
    <row r="59" spans="1:5" x14ac:dyDescent="0.25">
      <c r="A59" s="11"/>
      <c r="B59" s="11"/>
      <c r="C59" s="11"/>
      <c r="D59" s="11"/>
    </row>
    <row r="60" spans="1:5" x14ac:dyDescent="0.25">
      <c r="A60" s="11" t="s">
        <v>26</v>
      </c>
      <c r="B60" s="11"/>
      <c r="C60" s="11"/>
      <c r="D60" s="11"/>
    </row>
    <row r="61" spans="1:5" x14ac:dyDescent="0.25">
      <c r="A61" s="11" t="s">
        <v>27</v>
      </c>
      <c r="B61" s="14">
        <f>((B14/B10)-1)*100</f>
        <v>-3.9808917197452276</v>
      </c>
      <c r="C61" s="14">
        <f>((C14/C10)-1)*100</f>
        <v>-3.9808917197452276</v>
      </c>
      <c r="D61" s="13"/>
    </row>
    <row r="62" spans="1:5" x14ac:dyDescent="0.25">
      <c r="A62" s="11" t="s">
        <v>28</v>
      </c>
      <c r="B62" s="14">
        <f>((B37/B36)-1)*100</f>
        <v>24.676514560359443</v>
      </c>
      <c r="C62" s="14">
        <f>((C37/C36)-1)*100</f>
        <v>10.35535756611916</v>
      </c>
      <c r="D62" s="14">
        <f t="shared" ref="D62:E62" si="7">((D37/D36)-1)*100</f>
        <v>-100</v>
      </c>
      <c r="E62" s="14" t="e">
        <f t="shared" si="7"/>
        <v>#DIV/0!</v>
      </c>
    </row>
    <row r="63" spans="1:5" x14ac:dyDescent="0.25">
      <c r="A63" s="11" t="s">
        <v>29</v>
      </c>
      <c r="B63" s="14">
        <f>((B39/B38)-1)*100</f>
        <v>29.845524285084114</v>
      </c>
      <c r="C63" s="14">
        <f>((C39/C38)-1)*100</f>
        <v>14.930621146804036</v>
      </c>
      <c r="D63" s="13"/>
    </row>
    <row r="64" spans="1:5" x14ac:dyDescent="0.25">
      <c r="A64" s="11"/>
      <c r="B64" s="13"/>
      <c r="C64" s="13"/>
      <c r="D64" s="13"/>
    </row>
    <row r="65" spans="1:4" x14ac:dyDescent="0.25">
      <c r="A65" s="11" t="s">
        <v>30</v>
      </c>
      <c r="B65" s="11"/>
      <c r="C65" s="11"/>
      <c r="D65" s="11"/>
    </row>
    <row r="66" spans="1:4" x14ac:dyDescent="0.25">
      <c r="A66" t="s">
        <v>37</v>
      </c>
      <c r="B66" s="9">
        <f>B21/(B12*3)</f>
        <v>634077.42721518991</v>
      </c>
      <c r="C66" s="9">
        <f>C21/(C12*3)</f>
        <v>539140.7183544304</v>
      </c>
      <c r="D66" s="9"/>
    </row>
    <row r="67" spans="1:4" x14ac:dyDescent="0.25">
      <c r="A67" t="s">
        <v>38</v>
      </c>
      <c r="B67" s="9">
        <f>B22/(B14*3)</f>
        <v>561737.36370923161</v>
      </c>
      <c r="C67" s="9">
        <f>C22/(C14*3)</f>
        <v>497083.3873852957</v>
      </c>
      <c r="D67" s="9"/>
    </row>
    <row r="68" spans="1:4" x14ac:dyDescent="0.25">
      <c r="A68" t="s">
        <v>144</v>
      </c>
      <c r="B68" s="9"/>
      <c r="C68" s="9">
        <f>C22/C15</f>
        <v>505750.19560179976</v>
      </c>
      <c r="D68" s="9"/>
    </row>
    <row r="69" spans="1:4" x14ac:dyDescent="0.25">
      <c r="A69" s="11" t="s">
        <v>31</v>
      </c>
      <c r="B69" s="9">
        <f>(B66/B67)*B50</f>
        <v>135.40652225479829</v>
      </c>
      <c r="C69" s="9">
        <f>(C66/C67)*C50</f>
        <v>132.5969140273377</v>
      </c>
      <c r="D69" s="13"/>
    </row>
    <row r="70" spans="1:4" x14ac:dyDescent="0.25">
      <c r="A70" s="13" t="s">
        <v>77</v>
      </c>
      <c r="B70" s="9">
        <f>B21/B12</f>
        <v>1902232.2816455697</v>
      </c>
      <c r="C70" s="9">
        <f>C21/C12</f>
        <v>1617422.1550632911</v>
      </c>
      <c r="D70" s="13"/>
    </row>
    <row r="71" spans="1:4" x14ac:dyDescent="0.25">
      <c r="A71" s="13" t="s">
        <v>78</v>
      </c>
      <c r="B71" s="9">
        <f>B22/(B14)</f>
        <v>1685212.0911276948</v>
      </c>
      <c r="C71" s="9">
        <f>C22/(C14)</f>
        <v>1491250.1621558871</v>
      </c>
      <c r="D71" s="13"/>
    </row>
    <row r="72" spans="1:4" x14ac:dyDescent="0.25">
      <c r="B72" s="9"/>
      <c r="C72" s="9"/>
      <c r="D72" s="14"/>
    </row>
    <row r="73" spans="1:4" x14ac:dyDescent="0.25">
      <c r="A73" t="s">
        <v>32</v>
      </c>
      <c r="B73" s="14"/>
      <c r="C73" s="14"/>
      <c r="D73" s="14"/>
    </row>
    <row r="74" spans="1:4" x14ac:dyDescent="0.25">
      <c r="A74" s="11" t="s">
        <v>33</v>
      </c>
      <c r="B74" s="13">
        <f>(B28/B27)*100</f>
        <v>104.11556969856606</v>
      </c>
      <c r="C74" s="13"/>
      <c r="D74" s="13"/>
    </row>
    <row r="75" spans="1:4" x14ac:dyDescent="0.25">
      <c r="A75" s="11" t="s">
        <v>34</v>
      </c>
      <c r="B75" s="13">
        <f>(B22/B28)*100</f>
        <v>108.24661131254452</v>
      </c>
      <c r="C75" s="13"/>
      <c r="D75" s="13"/>
    </row>
    <row r="76" spans="1:4" ht="15.75" thickBot="1" x14ac:dyDescent="0.3">
      <c r="A76" s="16"/>
      <c r="B76" s="16"/>
      <c r="C76" s="16"/>
      <c r="D76" s="16"/>
    </row>
    <row r="77" spans="1:4" ht="15.75" thickTop="1" x14ac:dyDescent="0.25"/>
    <row r="78" spans="1:4" x14ac:dyDescent="0.25">
      <c r="A78" t="s">
        <v>35</v>
      </c>
    </row>
    <row r="79" spans="1:4" x14ac:dyDescent="0.25">
      <c r="A79" t="s">
        <v>143</v>
      </c>
    </row>
    <row r="80" spans="1:4" x14ac:dyDescent="0.25">
      <c r="A80" t="s">
        <v>158</v>
      </c>
      <c r="B80" s="5"/>
      <c r="C80" s="5"/>
      <c r="D80" s="5"/>
    </row>
    <row r="82" spans="1:1" x14ac:dyDescent="0.25">
      <c r="A82" t="s">
        <v>167</v>
      </c>
    </row>
    <row r="84" spans="1:1" x14ac:dyDescent="0.25">
      <c r="A84" s="32" t="s">
        <v>169</v>
      </c>
    </row>
    <row r="85" spans="1:1" x14ac:dyDescent="0.25">
      <c r="A85" s="21"/>
    </row>
    <row r="86" spans="1:1" x14ac:dyDescent="0.25">
      <c r="A86" s="21"/>
    </row>
  </sheetData>
  <mergeCells count="2">
    <mergeCell ref="A2:D2"/>
    <mergeCell ref="A4:A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6"/>
  <sheetViews>
    <sheetView tabSelected="1" workbookViewId="0"/>
  </sheetViews>
  <sheetFormatPr baseColWidth="10" defaultColWidth="11.42578125" defaultRowHeight="15" x14ac:dyDescent="0.25"/>
  <cols>
    <col min="1" max="1" width="55.140625" customWidth="1"/>
    <col min="2" max="2" width="16.140625" customWidth="1"/>
    <col min="3" max="3" width="15.5703125" customWidth="1"/>
    <col min="4" max="4" width="14.5703125" customWidth="1"/>
    <col min="5" max="5" width="16.85546875" bestFit="1" customWidth="1"/>
  </cols>
  <sheetData>
    <row r="2" spans="1:13" ht="15.75" x14ac:dyDescent="0.25">
      <c r="A2" s="33" t="s">
        <v>79</v>
      </c>
      <c r="B2" s="33"/>
      <c r="C2" s="33"/>
      <c r="D2" s="33"/>
    </row>
    <row r="4" spans="1:13" x14ac:dyDescent="0.25">
      <c r="A4" s="34" t="s">
        <v>0</v>
      </c>
      <c r="B4" s="36" t="s">
        <v>42</v>
      </c>
      <c r="C4" s="18" t="s">
        <v>2</v>
      </c>
      <c r="D4" s="1" t="s">
        <v>5</v>
      </c>
      <c r="E4" s="1" t="s">
        <v>71</v>
      </c>
    </row>
    <row r="5" spans="1:13" ht="15.75" thickBot="1" x14ac:dyDescent="0.3">
      <c r="A5" s="35"/>
      <c r="B5" s="37"/>
      <c r="C5" s="2" t="s">
        <v>4</v>
      </c>
      <c r="D5" s="2" t="s">
        <v>41</v>
      </c>
      <c r="E5" s="2" t="s">
        <v>72</v>
      </c>
    </row>
    <row r="6" spans="1:13" ht="15.75" thickTop="1" x14ac:dyDescent="0.25"/>
    <row r="7" spans="1:13" x14ac:dyDescent="0.25">
      <c r="A7" s="3" t="s">
        <v>6</v>
      </c>
    </row>
    <row r="9" spans="1:13" x14ac:dyDescent="0.25">
      <c r="A9" t="s">
        <v>7</v>
      </c>
    </row>
    <row r="10" spans="1:13" x14ac:dyDescent="0.25">
      <c r="A10" s="4" t="s">
        <v>157</v>
      </c>
      <c r="B10" s="7">
        <f>C10</f>
        <v>749</v>
      </c>
      <c r="C10" s="7">
        <v>749</v>
      </c>
      <c r="D10" s="5"/>
    </row>
    <row r="11" spans="1:13" x14ac:dyDescent="0.25">
      <c r="A11" s="26" t="s">
        <v>4</v>
      </c>
      <c r="B11" s="27">
        <f>+'I Trimestre'!B11+'II Trimestre'!B11+'III Trimestre'!B11+'IV Trimestre'!B11</f>
        <v>2254</v>
      </c>
      <c r="C11" s="27">
        <f>+'I Trimestre'!C11+'II Trimestre'!C11+'III Trimestre'!C11+'IV Trimestre'!C11</f>
        <v>2254</v>
      </c>
      <c r="D11" s="28"/>
      <c r="E11" s="29"/>
    </row>
    <row r="12" spans="1:13" x14ac:dyDescent="0.25">
      <c r="A12" s="10" t="s">
        <v>165</v>
      </c>
      <c r="B12" s="9">
        <f>C12</f>
        <v>632</v>
      </c>
      <c r="C12" s="9">
        <f>+('I Trimestre'!C12+'II Trimestre'!C12+'III Trimestre'!C12+'IV Trimestre'!C12)</f>
        <v>632</v>
      </c>
      <c r="D12" s="31"/>
      <c r="E12" s="11"/>
    </row>
    <row r="13" spans="1:13" x14ac:dyDescent="0.25">
      <c r="A13" s="26" t="s">
        <v>4</v>
      </c>
      <c r="B13" s="27">
        <f>C13</f>
        <v>1896</v>
      </c>
      <c r="C13" s="27">
        <f>+('I Trimestre'!C13+'II Trimestre'!C13+'III Trimestre'!C13+'IV Trimestre'!C13)</f>
        <v>1896</v>
      </c>
      <c r="D13" s="28"/>
      <c r="E13" s="29"/>
    </row>
    <row r="14" spans="1:13" x14ac:dyDescent="0.25">
      <c r="A14" s="4" t="s">
        <v>150</v>
      </c>
      <c r="B14" s="7">
        <v>750</v>
      </c>
      <c r="C14" s="7">
        <v>750</v>
      </c>
      <c r="D14" s="5"/>
    </row>
    <row r="15" spans="1:13" x14ac:dyDescent="0.25">
      <c r="A15" s="26" t="s">
        <v>4</v>
      </c>
      <c r="B15" s="27">
        <f>C15</f>
        <v>2402</v>
      </c>
      <c r="C15" s="27">
        <f>+('I Trimestre'!C15+'II Trimestre'!C15+'III Trimestre'!C15+'IV Trimestre'!C15)</f>
        <v>2402</v>
      </c>
      <c r="D15" s="28"/>
      <c r="E15" s="29"/>
    </row>
    <row r="16" spans="1:13" x14ac:dyDescent="0.25">
      <c r="A16" s="10" t="s">
        <v>166</v>
      </c>
      <c r="B16" s="9">
        <f t="shared" ref="B16:B17" si="0">C16</f>
        <v>632</v>
      </c>
      <c r="C16" s="9">
        <f>158*4</f>
        <v>632</v>
      </c>
      <c r="D16" s="31"/>
      <c r="E16" s="11"/>
      <c r="M16">
        <f>C15/C14</f>
        <v>3.2026666666666666</v>
      </c>
    </row>
    <row r="17" spans="1:13" x14ac:dyDescent="0.25">
      <c r="A17" s="26" t="s">
        <v>4</v>
      </c>
      <c r="B17" s="27">
        <f t="shared" si="0"/>
        <v>1896</v>
      </c>
      <c r="C17" s="27">
        <f>158*12</f>
        <v>1896</v>
      </c>
      <c r="D17" s="28"/>
      <c r="E17" s="29"/>
    </row>
    <row r="18" spans="1:13" x14ac:dyDescent="0.25">
      <c r="B18" s="5"/>
      <c r="C18" s="5"/>
      <c r="D18" s="5"/>
    </row>
    <row r="19" spans="1:13" x14ac:dyDescent="0.25">
      <c r="A19" s="6" t="s">
        <v>8</v>
      </c>
      <c r="B19" s="5"/>
      <c r="C19" s="5"/>
      <c r="D19" s="5"/>
      <c r="M19">
        <f>C22/(C14*M16)</f>
        <v>498978.88560366363</v>
      </c>
    </row>
    <row r="20" spans="1:13" x14ac:dyDescent="0.25">
      <c r="A20" s="4" t="s">
        <v>67</v>
      </c>
      <c r="B20" s="9">
        <f>SUM(C20:E20)</f>
        <v>1199861220.0700002</v>
      </c>
      <c r="C20" s="9">
        <f>+'I Trimestre'!C20+'II Trimestre'!C20+'III Trimestre'!C20+'IV Trimestre'!C20</f>
        <v>1040296275.47</v>
      </c>
      <c r="D20" s="9">
        <f>+'I Trimestre'!D20+'II Trimestre'!D20+'III Trimestre'!D20+'IV Trimestre'!D20</f>
        <v>106068447.40000001</v>
      </c>
      <c r="E20" s="9">
        <f>+'I Trimestre'!E20+'II Trimestre'!E20+'III Trimestre'!E20+'IV Trimestre'!E20</f>
        <v>53496497.200000003</v>
      </c>
      <c r="F20" s="19"/>
    </row>
    <row r="21" spans="1:13" x14ac:dyDescent="0.25">
      <c r="A21" s="4" t="s">
        <v>83</v>
      </c>
      <c r="B21" s="9">
        <f>SUM(C21:E21)</f>
        <v>1202210802</v>
      </c>
      <c r="C21" s="9">
        <f>+'I Trimestre'!C21+'II Trimestre'!C21+'III Trimestre'!C21+'IV Trimestre'!C21</f>
        <v>1022210802</v>
      </c>
      <c r="D21" s="9">
        <f>+'I Trimestre'!D21+'II Trimestre'!D21+'III Trimestre'!D21+'IV Trimestre'!D21</f>
        <v>120000000</v>
      </c>
      <c r="E21" s="9">
        <f>+'I Trimestre'!E21+'II Trimestre'!E21+'III Trimestre'!E21+'IV Trimestre'!E21</f>
        <v>60000000</v>
      </c>
    </row>
    <row r="22" spans="1:13" x14ac:dyDescent="0.25">
      <c r="A22" s="4" t="s">
        <v>84</v>
      </c>
      <c r="B22" s="9">
        <f t="shared" ref="B22:B23" si="1">SUM(C22:E22)</f>
        <v>1440028598.9300001</v>
      </c>
      <c r="C22" s="9">
        <f>+'I Trimestre'!C22+'II Trimestre'!C22+'III Trimestre'!C22+'IV Trimestre'!C22</f>
        <v>1198547283.22</v>
      </c>
      <c r="D22" s="9">
        <f>+'I Trimestre'!D22+'II Trimestre'!D22+'III Trimestre'!D22+'IV Trimestre'!D22</f>
        <v>0</v>
      </c>
      <c r="E22" s="9">
        <f>+'I Trimestre'!E22+'II Trimestre'!E22+'III Trimestre'!E22+'IV Trimestre'!E22</f>
        <v>241481315.70999998</v>
      </c>
    </row>
    <row r="23" spans="1:13" x14ac:dyDescent="0.25">
      <c r="A23" s="4" t="s">
        <v>82</v>
      </c>
      <c r="B23" s="9">
        <f t="shared" si="1"/>
        <v>1202210802</v>
      </c>
      <c r="C23" s="7">
        <f>+'IV Trimestre'!C23</f>
        <v>1022210802</v>
      </c>
      <c r="D23" s="7">
        <f>+'IV Trimestre'!D23</f>
        <v>120000000</v>
      </c>
      <c r="E23" s="7">
        <f>+'IV Trimestre'!E23</f>
        <v>60000000</v>
      </c>
    </row>
    <row r="24" spans="1:13" x14ac:dyDescent="0.25">
      <c r="A24" s="4" t="s">
        <v>85</v>
      </c>
      <c r="B24" s="7">
        <f>C24</f>
        <v>1198547283.22</v>
      </c>
      <c r="C24" s="7">
        <f>C22</f>
        <v>1198547283.22</v>
      </c>
      <c r="D24" s="7"/>
    </row>
    <row r="25" spans="1:13" x14ac:dyDescent="0.25">
      <c r="B25" s="7"/>
      <c r="C25" s="7"/>
      <c r="D25" s="7"/>
    </row>
    <row r="26" spans="1:13" x14ac:dyDescent="0.25">
      <c r="A26" s="8" t="s">
        <v>9</v>
      </c>
      <c r="B26" s="9"/>
      <c r="C26" s="9"/>
      <c r="D26" s="9"/>
    </row>
    <row r="27" spans="1:13" x14ac:dyDescent="0.25">
      <c r="A27" s="10" t="s">
        <v>80</v>
      </c>
      <c r="B27" s="9">
        <f>B21</f>
        <v>1202210802</v>
      </c>
      <c r="C27" s="9"/>
      <c r="D27" s="9"/>
    </row>
    <row r="28" spans="1:13" x14ac:dyDescent="0.25">
      <c r="A28" s="10" t="s">
        <v>81</v>
      </c>
      <c r="B28" s="7">
        <f>'I Trimestre'!B28+'II Trimestre'!B28+'III Trimestre'!B28+'IV Trimestre'!B28</f>
        <v>1318806320.0899999</v>
      </c>
      <c r="C28" s="9"/>
      <c r="D28" s="9"/>
    </row>
    <row r="29" spans="1:13" x14ac:dyDescent="0.25">
      <c r="A29" s="11"/>
      <c r="B29" s="11"/>
      <c r="C29" s="11"/>
      <c r="D29" s="11"/>
    </row>
    <row r="30" spans="1:13" x14ac:dyDescent="0.25">
      <c r="A30" s="11" t="s">
        <v>10</v>
      </c>
      <c r="B30" s="11"/>
      <c r="C30" s="11"/>
      <c r="D30" s="11"/>
    </row>
    <row r="31" spans="1:13" x14ac:dyDescent="0.25">
      <c r="A31" s="10" t="s">
        <v>68</v>
      </c>
      <c r="B31" s="17">
        <v>1.5325622623500001</v>
      </c>
      <c r="C31" s="17">
        <v>1.5325622623500001</v>
      </c>
      <c r="D31" s="17">
        <v>1.5325622623500001</v>
      </c>
      <c r="E31" s="17">
        <v>1.5325622623500001</v>
      </c>
    </row>
    <row r="32" spans="1:13" x14ac:dyDescent="0.25">
      <c r="A32" s="10" t="s">
        <v>86</v>
      </c>
      <c r="B32" s="17">
        <v>1.6141688075916665</v>
      </c>
      <c r="C32" s="17">
        <v>1.6141688075916665</v>
      </c>
      <c r="D32" s="17">
        <v>1.6141688075916665</v>
      </c>
      <c r="E32" s="17">
        <v>1.6141688075916665</v>
      </c>
    </row>
    <row r="33" spans="1:8" x14ac:dyDescent="0.25">
      <c r="A33" s="10" t="s">
        <v>11</v>
      </c>
      <c r="B33" s="9">
        <v>598</v>
      </c>
      <c r="C33" s="9"/>
      <c r="D33" s="9"/>
    </row>
    <row r="34" spans="1:8" x14ac:dyDescent="0.25">
      <c r="A34" s="11"/>
      <c r="B34" s="11"/>
      <c r="C34" s="11"/>
      <c r="D34" s="11"/>
    </row>
    <row r="35" spans="1:8" x14ac:dyDescent="0.25">
      <c r="A35" s="12" t="s">
        <v>12</v>
      </c>
      <c r="B35" s="11"/>
      <c r="C35" s="11"/>
      <c r="D35" s="11"/>
    </row>
    <row r="36" spans="1:8" x14ac:dyDescent="0.25">
      <c r="A36" s="11" t="s">
        <v>69</v>
      </c>
      <c r="B36" s="9">
        <f>B20/B31</f>
        <v>782911891.76885843</v>
      </c>
      <c r="C36" s="9">
        <f>C20/C31</f>
        <v>678795440.17665601</v>
      </c>
      <c r="D36" s="9">
        <f t="shared" ref="D36:E36" si="2">D20/D31</f>
        <v>69209878.127467901</v>
      </c>
      <c r="E36" s="9">
        <f t="shared" si="2"/>
        <v>34906573.46473451</v>
      </c>
    </row>
    <row r="37" spans="1:8" x14ac:dyDescent="0.25">
      <c r="A37" s="11" t="s">
        <v>87</v>
      </c>
      <c r="B37" s="9">
        <f>B22/B32</f>
        <v>892117721.61457956</v>
      </c>
      <c r="C37" s="9">
        <f>C22/C32</f>
        <v>742516691.92407942</v>
      </c>
      <c r="D37" s="9">
        <f t="shared" ref="D37:E37" si="3">D22/D32</f>
        <v>0</v>
      </c>
      <c r="E37" s="9">
        <f t="shared" si="3"/>
        <v>149601029.69050005</v>
      </c>
    </row>
    <row r="38" spans="1:8" x14ac:dyDescent="0.25">
      <c r="A38" s="11" t="s">
        <v>70</v>
      </c>
      <c r="B38" s="9">
        <f>B36/B10</f>
        <v>1045276.2239904652</v>
      </c>
      <c r="C38" s="9">
        <f>C36/$C10</f>
        <v>906268.94549620291</v>
      </c>
      <c r="D38" s="9">
        <f t="shared" ref="D38:E38" si="4">D36/$C10</f>
        <v>92403.041558702142</v>
      </c>
      <c r="E38" s="9">
        <f t="shared" si="4"/>
        <v>46604.236935560089</v>
      </c>
    </row>
    <row r="39" spans="1:8" x14ac:dyDescent="0.25">
      <c r="A39" s="11" t="s">
        <v>88</v>
      </c>
      <c r="B39" s="9">
        <f>B37/B14</f>
        <v>1189490.2954861061</v>
      </c>
      <c r="C39" s="9">
        <f>C37/$C14</f>
        <v>990022.25589877251</v>
      </c>
      <c r="D39" s="9">
        <f t="shared" ref="D39:E39" si="5">D37/$C14</f>
        <v>0</v>
      </c>
      <c r="E39" s="9">
        <f t="shared" si="5"/>
        <v>199468.03958733339</v>
      </c>
    </row>
    <row r="41" spans="1:8" x14ac:dyDescent="0.25">
      <c r="A41" s="3" t="s">
        <v>13</v>
      </c>
    </row>
    <row r="43" spans="1:8" x14ac:dyDescent="0.25">
      <c r="A43" t="s">
        <v>14</v>
      </c>
    </row>
    <row r="44" spans="1:8" x14ac:dyDescent="0.25">
      <c r="A44" t="s">
        <v>15</v>
      </c>
      <c r="B44" s="30">
        <f>(B12/B33)*100</f>
        <v>105.68561872909699</v>
      </c>
      <c r="C44" s="15"/>
      <c r="D44" s="13"/>
      <c r="E44" s="11"/>
      <c r="F44" s="11"/>
      <c r="G44" s="11"/>
      <c r="H44" s="11"/>
    </row>
    <row r="45" spans="1:8" x14ac:dyDescent="0.25">
      <c r="A45" t="s">
        <v>16</v>
      </c>
      <c r="B45" s="15">
        <f>(B14*100)/(B33)</f>
        <v>125.41806020066889</v>
      </c>
      <c r="C45" s="15">
        <f>B45-B44</f>
        <v>19.732441471571903</v>
      </c>
      <c r="D45" s="13"/>
    </row>
    <row r="47" spans="1:8" x14ac:dyDescent="0.25">
      <c r="A47" t="s">
        <v>17</v>
      </c>
    </row>
    <row r="48" spans="1:8" x14ac:dyDescent="0.25">
      <c r="A48" t="s">
        <v>18</v>
      </c>
      <c r="B48" s="14">
        <f>(B14/B12)*100</f>
        <v>118.67088607594938</v>
      </c>
      <c r="C48" s="14">
        <f>(C14/C12)*100</f>
        <v>118.67088607594938</v>
      </c>
      <c r="D48" s="14"/>
    </row>
    <row r="49" spans="1:5" x14ac:dyDescent="0.25">
      <c r="A49" t="s">
        <v>19</v>
      </c>
      <c r="B49" s="14">
        <f>B22/B21*100</f>
        <v>119.78170521628701</v>
      </c>
      <c r="C49" s="14">
        <f>C22/C21*100</f>
        <v>117.25050066727822</v>
      </c>
      <c r="D49" s="14">
        <f>D22/D21*100</f>
        <v>0</v>
      </c>
      <c r="E49" s="14">
        <f>E22/E21*100</f>
        <v>402.46885951666667</v>
      </c>
    </row>
    <row r="50" spans="1:5" x14ac:dyDescent="0.25">
      <c r="A50" s="11" t="s">
        <v>20</v>
      </c>
      <c r="B50" s="13">
        <f>AVERAGE(B48:B49)</f>
        <v>119.22629564611819</v>
      </c>
      <c r="C50" s="13">
        <f>AVERAGE(C48:C49)</f>
        <v>117.9606933716138</v>
      </c>
      <c r="D50" s="13"/>
    </row>
    <row r="51" spans="1:5" x14ac:dyDescent="0.25">
      <c r="A51" s="11"/>
      <c r="B51" s="13"/>
      <c r="C51" s="13"/>
      <c r="D51" s="13"/>
    </row>
    <row r="52" spans="1:5" x14ac:dyDescent="0.25">
      <c r="A52" s="11" t="s">
        <v>21</v>
      </c>
      <c r="B52" s="11"/>
      <c r="C52" s="11"/>
      <c r="D52" s="11"/>
    </row>
    <row r="53" spans="1:5" x14ac:dyDescent="0.25">
      <c r="A53" s="11" t="s">
        <v>22</v>
      </c>
      <c r="B53" s="13">
        <f>(B14/B16)*100</f>
        <v>118.67088607594938</v>
      </c>
      <c r="C53" s="13">
        <f>(C14/C16)*100</f>
        <v>118.67088607594938</v>
      </c>
      <c r="D53" s="13"/>
    </row>
    <row r="54" spans="1:5" x14ac:dyDescent="0.25">
      <c r="A54" s="11" t="s">
        <v>23</v>
      </c>
      <c r="B54" s="13">
        <f>B22/B23*100</f>
        <v>119.78170521628701</v>
      </c>
      <c r="C54" s="13">
        <f>C22/C23*100</f>
        <v>117.25050066727822</v>
      </c>
      <c r="D54" s="13">
        <f>D22/D23*100</f>
        <v>0</v>
      </c>
      <c r="E54" s="13">
        <f>E22/E23*100</f>
        <v>402.46885951666667</v>
      </c>
    </row>
    <row r="55" spans="1:5" x14ac:dyDescent="0.25">
      <c r="A55" s="11" t="s">
        <v>24</v>
      </c>
      <c r="B55" s="13">
        <f>(B53+B54)/2</f>
        <v>119.22629564611819</v>
      </c>
      <c r="C55" s="13">
        <f>(C53+C54)/2</f>
        <v>117.9606933716138</v>
      </c>
      <c r="D55" s="13"/>
    </row>
    <row r="56" spans="1:5" x14ac:dyDescent="0.25">
      <c r="A56" s="11"/>
      <c r="B56" s="11"/>
      <c r="C56" s="11"/>
      <c r="D56" s="11"/>
    </row>
    <row r="57" spans="1:5" x14ac:dyDescent="0.25">
      <c r="A57" s="11" t="s">
        <v>36</v>
      </c>
      <c r="B57" s="11"/>
      <c r="C57" s="11"/>
      <c r="D57" s="11"/>
    </row>
    <row r="58" spans="1:5" x14ac:dyDescent="0.25">
      <c r="A58" s="11" t="s">
        <v>25</v>
      </c>
      <c r="B58" s="15">
        <f>(B24/B22)*100</f>
        <v>83.230797229344574</v>
      </c>
      <c r="C58" s="13"/>
      <c r="D58" s="13"/>
    </row>
    <row r="59" spans="1:5" x14ac:dyDescent="0.25">
      <c r="A59" s="11"/>
      <c r="B59" s="11"/>
      <c r="C59" s="11"/>
      <c r="D59" s="11"/>
    </row>
    <row r="60" spans="1:5" x14ac:dyDescent="0.25">
      <c r="A60" s="11" t="s">
        <v>26</v>
      </c>
      <c r="B60" s="11"/>
      <c r="C60" s="11"/>
      <c r="D60" s="11"/>
    </row>
    <row r="61" spans="1:5" x14ac:dyDescent="0.25">
      <c r="A61" s="11" t="s">
        <v>27</v>
      </c>
      <c r="B61" s="14">
        <f>((B14/B10)-1)*100</f>
        <v>0.13351134846462109</v>
      </c>
      <c r="C61" s="14">
        <f>((C14/C10)-1)*100</f>
        <v>0.13351134846462109</v>
      </c>
      <c r="D61" s="13"/>
    </row>
    <row r="62" spans="1:5" x14ac:dyDescent="0.25">
      <c r="A62" s="11" t="s">
        <v>28</v>
      </c>
      <c r="B62" s="14">
        <f>((B37/B36)-1)*100</f>
        <v>13.94867430088318</v>
      </c>
      <c r="C62" s="14">
        <f>((C37/C36)-1)*100</f>
        <v>9.38740126640214</v>
      </c>
      <c r="D62" s="14">
        <f t="shared" ref="D62:E62" si="6">((D37/D36)-1)*100</f>
        <v>-100</v>
      </c>
      <c r="E62" s="14">
        <f t="shared" si="6"/>
        <v>328.57552272106949</v>
      </c>
    </row>
    <row r="63" spans="1:5" x14ac:dyDescent="0.25">
      <c r="A63" s="11" t="s">
        <v>29</v>
      </c>
      <c r="B63" s="14">
        <f>((B39/B38)-1)*100</f>
        <v>13.796742735148682</v>
      </c>
      <c r="C63" s="14">
        <f>((C39/C38)-1)*100</f>
        <v>9.2415513980469441</v>
      </c>
      <c r="D63" s="14"/>
    </row>
    <row r="64" spans="1:5" x14ac:dyDescent="0.25">
      <c r="A64" s="11"/>
      <c r="B64" s="13"/>
      <c r="C64" s="13"/>
      <c r="D64" s="13"/>
    </row>
    <row r="65" spans="1:4" x14ac:dyDescent="0.25">
      <c r="A65" s="11" t="s">
        <v>30</v>
      </c>
      <c r="B65" s="11"/>
      <c r="C65" s="11"/>
      <c r="D65" s="11"/>
    </row>
    <row r="66" spans="1:4" x14ac:dyDescent="0.25">
      <c r="A66" t="s">
        <v>37</v>
      </c>
      <c r="B66" s="9">
        <f>B21/(B12*3)</f>
        <v>634077.42721518991</v>
      </c>
      <c r="C66" s="9">
        <f>C21/(C12*3)</f>
        <v>539140.7183544304</v>
      </c>
      <c r="D66" s="9"/>
    </row>
    <row r="67" spans="1:4" x14ac:dyDescent="0.25">
      <c r="A67" t="s">
        <v>38</v>
      </c>
      <c r="B67" s="9">
        <f>B22/(B14*3)</f>
        <v>640012.71063555556</v>
      </c>
      <c r="C67" s="9">
        <f>C22/(C14*3)</f>
        <v>532687.68143111118</v>
      </c>
      <c r="D67" s="9"/>
    </row>
    <row r="68" spans="1:4" x14ac:dyDescent="0.25">
      <c r="A68" t="s">
        <v>144</v>
      </c>
      <c r="B68" s="9"/>
      <c r="C68" s="9">
        <f>C22/C15</f>
        <v>498978.88560366363</v>
      </c>
      <c r="D68" s="9"/>
    </row>
    <row r="69" spans="1:4" x14ac:dyDescent="0.25">
      <c r="A69" s="11" t="s">
        <v>31</v>
      </c>
      <c r="B69" s="9">
        <f>(B66/B67)*B50</f>
        <v>118.12062720538158</v>
      </c>
      <c r="C69" s="9">
        <f>(C66/C67)*C50</f>
        <v>119.38968213249957</v>
      </c>
      <c r="D69" s="13"/>
    </row>
    <row r="70" spans="1:4" x14ac:dyDescent="0.25">
      <c r="A70" s="13" t="s">
        <v>73</v>
      </c>
      <c r="B70" s="9">
        <f>B21/B12</f>
        <v>1902232.2816455697</v>
      </c>
      <c r="C70" s="9">
        <f>C21/C12</f>
        <v>1617422.1550632911</v>
      </c>
      <c r="D70" s="13"/>
    </row>
    <row r="71" spans="1:4" x14ac:dyDescent="0.25">
      <c r="A71" s="13" t="s">
        <v>74</v>
      </c>
      <c r="B71" s="9">
        <f>B22/(B14)</f>
        <v>1920038.1319066668</v>
      </c>
      <c r="C71" s="9">
        <f>C22/(C14)</f>
        <v>1598063.0442933333</v>
      </c>
      <c r="D71" s="13"/>
    </row>
    <row r="72" spans="1:4" x14ac:dyDescent="0.25">
      <c r="B72" s="9"/>
      <c r="C72" s="9"/>
      <c r="D72" s="14"/>
    </row>
    <row r="73" spans="1:4" x14ac:dyDescent="0.25">
      <c r="A73" t="s">
        <v>32</v>
      </c>
      <c r="B73" s="14"/>
      <c r="C73" s="14"/>
      <c r="D73" s="14"/>
    </row>
    <row r="74" spans="1:4" x14ac:dyDescent="0.25">
      <c r="A74" s="11" t="s">
        <v>33</v>
      </c>
      <c r="B74" s="13">
        <f>(B28/B27)*100</f>
        <v>109.69842542556026</v>
      </c>
      <c r="C74" s="13"/>
      <c r="D74" s="13"/>
    </row>
    <row r="75" spans="1:4" x14ac:dyDescent="0.25">
      <c r="A75" s="11" t="s">
        <v>34</v>
      </c>
      <c r="B75" s="13">
        <f>(B22/B28)*100</f>
        <v>109.19181816111767</v>
      </c>
      <c r="C75" s="13"/>
      <c r="D75" s="13"/>
    </row>
    <row r="76" spans="1:4" ht="15.75" thickBot="1" x14ac:dyDescent="0.3">
      <c r="A76" s="16"/>
      <c r="B76" s="16"/>
      <c r="C76" s="16"/>
      <c r="D76" s="16"/>
    </row>
    <row r="77" spans="1:4" ht="15.75" thickTop="1" x14ac:dyDescent="0.25"/>
    <row r="78" spans="1:4" x14ac:dyDescent="0.25">
      <c r="A78" t="s">
        <v>35</v>
      </c>
    </row>
    <row r="79" spans="1:4" x14ac:dyDescent="0.25">
      <c r="A79" t="s">
        <v>143</v>
      </c>
    </row>
    <row r="80" spans="1:4" x14ac:dyDescent="0.25">
      <c r="A80" t="s">
        <v>158</v>
      </c>
      <c r="B80" s="5"/>
      <c r="C80" s="5"/>
      <c r="D80" s="5"/>
    </row>
    <row r="82" spans="1:1" x14ac:dyDescent="0.25">
      <c r="A82" t="s">
        <v>167</v>
      </c>
    </row>
    <row r="84" spans="1:1" x14ac:dyDescent="0.25">
      <c r="A84" s="32" t="s">
        <v>169</v>
      </c>
    </row>
    <row r="85" spans="1:1" x14ac:dyDescent="0.25">
      <c r="A85" s="21"/>
    </row>
    <row r="86" spans="1:1" x14ac:dyDescent="0.25">
      <c r="A86" s="21"/>
    </row>
  </sheetData>
  <mergeCells count="3">
    <mergeCell ref="A2:D2"/>
    <mergeCell ref="A4:A5"/>
    <mergeCell ref="B4:B5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34" sqref="G34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 Trimestre</vt:lpstr>
      <vt:lpstr>II Trimestre</vt:lpstr>
      <vt:lpstr>III Trimestre</vt:lpstr>
      <vt:lpstr>IV Trimestre</vt:lpstr>
      <vt:lpstr>I semestre</vt:lpstr>
      <vt:lpstr>3 Trimestre Acumulado</vt:lpstr>
      <vt:lpstr>Anual</vt:lpstr>
      <vt:lpstr>Hoja1</vt:lpstr>
    </vt:vector>
  </TitlesOfParts>
  <Company>FAM ASTORGA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NASTORGA</dc:creator>
  <cp:lastModifiedBy>Horacio Rodriguez</cp:lastModifiedBy>
  <dcterms:created xsi:type="dcterms:W3CDTF">2012-04-21T15:36:23Z</dcterms:created>
  <dcterms:modified xsi:type="dcterms:W3CDTF">2014-11-04T15:34:30Z</dcterms:modified>
</cp:coreProperties>
</file>