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rojas\Documents\Hermes Cliente\files\"/>
    </mc:Choice>
  </mc:AlternateContent>
  <bookViews>
    <workbookView xWindow="360" yWindow="75" windowWidth="10515" windowHeight="4905" firstSheet="1" activeTab="6"/>
  </bookViews>
  <sheets>
    <sheet name="I Trimestre" sheetId="4" r:id="rId1"/>
    <sheet name="II Trimestre" sheetId="7" r:id="rId2"/>
    <sheet name="III Trimestre" sheetId="8" r:id="rId3"/>
    <sheet name="IV Trimestre" sheetId="3" r:id="rId4"/>
    <sheet name="I Semestre" sheetId="9" r:id="rId5"/>
    <sheet name="III T Acumulado" sheetId="10" r:id="rId6"/>
    <sheet name="Anual" sheetId="2" r:id="rId7"/>
    <sheet name="Observaciones" sheetId="11" r:id="rId8"/>
  </sheets>
  <calcPr calcId="152511"/>
</workbook>
</file>

<file path=xl/calcChain.xml><?xml version="1.0" encoding="utf-8"?>
<calcChain xmlns="http://schemas.openxmlformats.org/spreadsheetml/2006/main">
  <c r="C22" i="9" l="1"/>
  <c r="C22" i="10"/>
  <c r="C22" i="2"/>
  <c r="C53" i="3"/>
  <c r="C53" i="8"/>
  <c r="C53" i="7"/>
  <c r="C53" i="4"/>
  <c r="C48" i="3"/>
  <c r="C48" i="8"/>
  <c r="C48" i="7"/>
  <c r="C48" i="4"/>
  <c r="F16" i="3" l="1"/>
  <c r="F12" i="3"/>
  <c r="F16" i="8"/>
  <c r="F12" i="8"/>
  <c r="F16" i="7"/>
  <c r="F12" i="7"/>
  <c r="F16" i="4"/>
  <c r="F12" i="4"/>
  <c r="C12" i="3"/>
  <c r="C12" i="8"/>
  <c r="C12" i="7"/>
  <c r="C16" i="3"/>
  <c r="C16" i="8"/>
  <c r="C16" i="7"/>
  <c r="C16" i="4"/>
  <c r="C12" i="4"/>
  <c r="C68" i="4" l="1"/>
  <c r="C65" i="4"/>
  <c r="C68" i="7"/>
  <c r="C65" i="7"/>
  <c r="C65" i="8"/>
  <c r="C68" i="8"/>
  <c r="C65" i="3"/>
  <c r="C68" i="3"/>
  <c r="B27" i="9"/>
  <c r="B27" i="10"/>
  <c r="B27" i="2"/>
  <c r="H22" i="9"/>
  <c r="I22" i="9"/>
  <c r="J22" i="9"/>
  <c r="G22" i="9"/>
  <c r="H20" i="9"/>
  <c r="I20" i="9"/>
  <c r="J20" i="9"/>
  <c r="G21" i="9"/>
  <c r="H21" i="9"/>
  <c r="I21" i="9"/>
  <c r="J21" i="9"/>
  <c r="G23" i="9"/>
  <c r="H23" i="9"/>
  <c r="I23" i="9"/>
  <c r="J23" i="9"/>
  <c r="H19" i="9"/>
  <c r="J19" i="9"/>
  <c r="G19" i="9"/>
  <c r="E22" i="9"/>
  <c r="C20" i="9"/>
  <c r="C21" i="9"/>
  <c r="E21" i="9"/>
  <c r="C23" i="9"/>
  <c r="E23" i="9"/>
  <c r="E19" i="9"/>
  <c r="C19" i="9"/>
  <c r="J23" i="10"/>
  <c r="I23" i="10"/>
  <c r="H23" i="10"/>
  <c r="G23" i="10"/>
  <c r="H20" i="10"/>
  <c r="I20" i="10"/>
  <c r="J20" i="10"/>
  <c r="G21" i="10"/>
  <c r="H21" i="10"/>
  <c r="I21" i="10"/>
  <c r="J21" i="10"/>
  <c r="H19" i="10"/>
  <c r="J19" i="10"/>
  <c r="G19" i="10"/>
  <c r="H22" i="10"/>
  <c r="I22" i="10"/>
  <c r="J22" i="10"/>
  <c r="G22" i="10"/>
  <c r="E22" i="10"/>
  <c r="C20" i="10"/>
  <c r="C21" i="10"/>
  <c r="E21" i="10"/>
  <c r="C23" i="10"/>
  <c r="E23" i="10"/>
  <c r="E19" i="10"/>
  <c r="C19" i="10"/>
  <c r="H22" i="2"/>
  <c r="I22" i="2"/>
  <c r="J22" i="2"/>
  <c r="G22" i="2"/>
  <c r="H20" i="2"/>
  <c r="I20" i="2"/>
  <c r="J20" i="2"/>
  <c r="G21" i="2"/>
  <c r="H21" i="2"/>
  <c r="I21" i="2"/>
  <c r="J21" i="2"/>
  <c r="G23" i="2"/>
  <c r="H23" i="2"/>
  <c r="I23" i="2"/>
  <c r="J23" i="2"/>
  <c r="H19" i="2"/>
  <c r="J19" i="2"/>
  <c r="G19" i="2"/>
  <c r="E23" i="2"/>
  <c r="E22" i="2"/>
  <c r="E21" i="2"/>
  <c r="E19" i="2"/>
  <c r="C20" i="2"/>
  <c r="C21" i="2"/>
  <c r="C48" i="2" s="1"/>
  <c r="C23" i="2"/>
  <c r="C19" i="2"/>
  <c r="D16" i="9"/>
  <c r="E16" i="9"/>
  <c r="F16" i="9"/>
  <c r="G16" i="9"/>
  <c r="C16" i="9"/>
  <c r="C11" i="9"/>
  <c r="D11" i="9"/>
  <c r="E11" i="9"/>
  <c r="F11" i="9"/>
  <c r="G11" i="9"/>
  <c r="C12" i="9"/>
  <c r="D12" i="9"/>
  <c r="E12" i="9"/>
  <c r="F12" i="9"/>
  <c r="G12" i="9"/>
  <c r="C13" i="9"/>
  <c r="D13" i="9"/>
  <c r="E13" i="9"/>
  <c r="F13" i="9"/>
  <c r="G13" i="9"/>
  <c r="C14" i="9"/>
  <c r="D14" i="9"/>
  <c r="E14" i="9"/>
  <c r="F14" i="9"/>
  <c r="G14" i="9"/>
  <c r="C15" i="9"/>
  <c r="D15" i="9"/>
  <c r="E15" i="9"/>
  <c r="F15" i="9"/>
  <c r="G15" i="9"/>
  <c r="D10" i="9"/>
  <c r="E10" i="9"/>
  <c r="F10" i="9"/>
  <c r="G10" i="9"/>
  <c r="C10" i="9"/>
  <c r="C11" i="10"/>
  <c r="D11" i="10"/>
  <c r="E11" i="10"/>
  <c r="F11" i="10"/>
  <c r="G11" i="10"/>
  <c r="C12" i="10"/>
  <c r="D12" i="10"/>
  <c r="E12" i="10"/>
  <c r="F12" i="10"/>
  <c r="G12" i="10"/>
  <c r="C13" i="10"/>
  <c r="D13" i="10"/>
  <c r="E13" i="10"/>
  <c r="F13" i="10"/>
  <c r="G13" i="10"/>
  <c r="C14" i="10"/>
  <c r="D14" i="10"/>
  <c r="E14" i="10"/>
  <c r="F14" i="10"/>
  <c r="G14" i="10"/>
  <c r="C15" i="10"/>
  <c r="D15" i="10"/>
  <c r="E15" i="10"/>
  <c r="F15" i="10"/>
  <c r="G15" i="10"/>
  <c r="D10" i="10"/>
  <c r="E10" i="10"/>
  <c r="F10" i="10"/>
  <c r="G10" i="10"/>
  <c r="C10" i="10"/>
  <c r="D16" i="10"/>
  <c r="E16" i="10"/>
  <c r="F16" i="10"/>
  <c r="G16" i="10"/>
  <c r="C16" i="10"/>
  <c r="C11" i="2"/>
  <c r="D11" i="2"/>
  <c r="E11" i="2"/>
  <c r="F11" i="2"/>
  <c r="G11" i="2"/>
  <c r="C12" i="2"/>
  <c r="D12" i="2"/>
  <c r="E12" i="2"/>
  <c r="F12" i="2"/>
  <c r="G12" i="2"/>
  <c r="C13" i="2"/>
  <c r="D13" i="2"/>
  <c r="E13" i="2"/>
  <c r="F13" i="2"/>
  <c r="G13" i="2"/>
  <c r="C14" i="2"/>
  <c r="D14" i="2"/>
  <c r="E14" i="2"/>
  <c r="F14" i="2"/>
  <c r="G14" i="2"/>
  <c r="C15" i="2"/>
  <c r="D15" i="2"/>
  <c r="E15" i="2"/>
  <c r="F15" i="2"/>
  <c r="G15" i="2"/>
  <c r="D10" i="2"/>
  <c r="E10" i="2"/>
  <c r="F10" i="2"/>
  <c r="G10" i="2"/>
  <c r="C10" i="2"/>
  <c r="D16" i="2"/>
  <c r="E16" i="2"/>
  <c r="F16" i="2"/>
  <c r="G16" i="2"/>
  <c r="C16" i="2"/>
  <c r="C48" i="9" l="1"/>
  <c r="C53" i="9"/>
  <c r="C48" i="10"/>
  <c r="E20" i="3"/>
  <c r="E20" i="8"/>
  <c r="E20" i="7"/>
  <c r="E20" i="4"/>
  <c r="E20" i="9" l="1"/>
  <c r="E20" i="2"/>
  <c r="E20" i="10"/>
  <c r="G20" i="3"/>
  <c r="G20" i="8"/>
  <c r="G20" i="7"/>
  <c r="G20" i="4"/>
  <c r="G20" i="9" l="1"/>
  <c r="G20" i="2"/>
  <c r="G20" i="10"/>
  <c r="B20" i="10" s="1"/>
  <c r="B26" i="10" s="1"/>
  <c r="B23" i="2"/>
  <c r="B22" i="2"/>
  <c r="B21" i="2"/>
  <c r="B20" i="2"/>
  <c r="B26" i="2" s="1"/>
  <c r="B19" i="2"/>
  <c r="B23" i="10"/>
  <c r="B22" i="10"/>
  <c r="B21" i="10"/>
  <c r="B19" i="10"/>
  <c r="B23" i="9"/>
  <c r="B22" i="9"/>
  <c r="B21" i="9"/>
  <c r="B20" i="9"/>
  <c r="B26" i="9" s="1"/>
  <c r="B19" i="9"/>
  <c r="B23" i="3"/>
  <c r="B22" i="3"/>
  <c r="B21" i="3"/>
  <c r="B20" i="3"/>
  <c r="B26" i="3" s="1"/>
  <c r="B19" i="3"/>
  <c r="B23" i="8"/>
  <c r="B22" i="8"/>
  <c r="B21" i="8"/>
  <c r="B20" i="8"/>
  <c r="B26" i="8" s="1"/>
  <c r="B19" i="8"/>
  <c r="B23" i="7"/>
  <c r="B22" i="7"/>
  <c r="B21" i="7"/>
  <c r="B20" i="7"/>
  <c r="B26" i="7" s="1"/>
  <c r="B19" i="7"/>
  <c r="B20" i="4"/>
  <c r="B26" i="4" s="1"/>
  <c r="B21" i="4"/>
  <c r="B22" i="4"/>
  <c r="B23" i="4"/>
  <c r="B19" i="4"/>
  <c r="B16" i="2"/>
  <c r="B15" i="2"/>
  <c r="B14" i="2"/>
  <c r="B13" i="2"/>
  <c r="B12" i="2"/>
  <c r="B11" i="2"/>
  <c r="B10" i="2"/>
  <c r="B16" i="10"/>
  <c r="B15" i="10"/>
  <c r="B14" i="10"/>
  <c r="B13" i="10"/>
  <c r="B12" i="10"/>
  <c r="B11" i="10"/>
  <c r="B10" i="10"/>
  <c r="B16" i="9"/>
  <c r="B15" i="9"/>
  <c r="B14" i="9"/>
  <c r="B13" i="9"/>
  <c r="B12" i="9"/>
  <c r="B11" i="9"/>
  <c r="B10" i="9"/>
  <c r="B16" i="3"/>
  <c r="B15" i="3"/>
  <c r="B14" i="3"/>
  <c r="B13" i="3"/>
  <c r="B12" i="3"/>
  <c r="B11" i="3"/>
  <c r="B10" i="3"/>
  <c r="B16" i="8"/>
  <c r="B15" i="8"/>
  <c r="B14" i="8"/>
  <c r="B13" i="8"/>
  <c r="B12" i="8"/>
  <c r="B11" i="8"/>
  <c r="B10" i="8"/>
  <c r="B16" i="7"/>
  <c r="B15" i="7"/>
  <c r="B14" i="7"/>
  <c r="B13" i="7"/>
  <c r="B12" i="7"/>
  <c r="B11" i="7"/>
  <c r="B10" i="7"/>
  <c r="B16" i="4"/>
  <c r="B11" i="4"/>
  <c r="B12" i="4"/>
  <c r="B13" i="4"/>
  <c r="B14" i="4"/>
  <c r="B15" i="4"/>
  <c r="B10" i="4"/>
  <c r="G53" i="8" l="1"/>
  <c r="E53" i="8"/>
  <c r="G35" i="10" l="1"/>
  <c r="E35" i="10"/>
  <c r="C36" i="10" l="1"/>
  <c r="G35" i="3" l="1"/>
  <c r="E35" i="3"/>
  <c r="C35" i="3"/>
  <c r="B73" i="8"/>
  <c r="E48" i="8"/>
  <c r="G36" i="8"/>
  <c r="E36" i="8"/>
  <c r="C36" i="8"/>
  <c r="B36" i="8"/>
  <c r="G35" i="8"/>
  <c r="E35" i="8"/>
  <c r="C35" i="8"/>
  <c r="C36" i="7"/>
  <c r="G35" i="7"/>
  <c r="E35" i="7"/>
  <c r="E61" i="8" l="1"/>
  <c r="C61" i="8"/>
  <c r="G61" i="8"/>
  <c r="G44" i="3" l="1"/>
  <c r="G43" i="3"/>
  <c r="G37" i="3"/>
  <c r="F44" i="3"/>
  <c r="F52" i="3"/>
  <c r="F43" i="3"/>
  <c r="E44" i="3"/>
  <c r="E43" i="3"/>
  <c r="D44" i="3"/>
  <c r="D43" i="3"/>
  <c r="C44" i="3"/>
  <c r="C47" i="3"/>
  <c r="G44" i="8"/>
  <c r="G43" i="8"/>
  <c r="G37" i="8"/>
  <c r="F44" i="8"/>
  <c r="F52" i="8"/>
  <c r="F43" i="8"/>
  <c r="E44" i="8"/>
  <c r="E43" i="8"/>
  <c r="D44" i="8"/>
  <c r="D43" i="8"/>
  <c r="C44" i="8"/>
  <c r="C43" i="8"/>
  <c r="C47" i="8"/>
  <c r="G44" i="7"/>
  <c r="G43" i="7"/>
  <c r="G37" i="7"/>
  <c r="F44" i="7"/>
  <c r="F52" i="7"/>
  <c r="F43" i="7"/>
  <c r="E44" i="7"/>
  <c r="E43" i="7"/>
  <c r="D44" i="7"/>
  <c r="D43" i="7"/>
  <c r="C44" i="7"/>
  <c r="C43" i="7"/>
  <c r="C47" i="7"/>
  <c r="C60" i="7"/>
  <c r="G44" i="4"/>
  <c r="E44" i="4"/>
  <c r="B53" i="4" l="1"/>
  <c r="C60" i="2"/>
  <c r="C60" i="9"/>
  <c r="C44" i="2"/>
  <c r="C44" i="9"/>
  <c r="E43" i="2"/>
  <c r="E43" i="10"/>
  <c r="E43" i="9"/>
  <c r="B53" i="8"/>
  <c r="C43" i="2"/>
  <c r="C43" i="9"/>
  <c r="B43" i="4"/>
  <c r="D43" i="2"/>
  <c r="D43" i="10"/>
  <c r="D43" i="9"/>
  <c r="D44" i="2"/>
  <c r="D44" i="10"/>
  <c r="D44" i="9"/>
  <c r="E52" i="4"/>
  <c r="F43" i="2"/>
  <c r="F43" i="10"/>
  <c r="F43" i="9"/>
  <c r="F44" i="2"/>
  <c r="F44" i="10"/>
  <c r="F44" i="9"/>
  <c r="G52" i="4"/>
  <c r="G66" i="4"/>
  <c r="E37" i="7"/>
  <c r="E65" i="7"/>
  <c r="E68" i="7"/>
  <c r="E52" i="7"/>
  <c r="E60" i="7"/>
  <c r="E47" i="7"/>
  <c r="G52" i="7"/>
  <c r="G47" i="7"/>
  <c r="G60" i="7"/>
  <c r="E37" i="8"/>
  <c r="E68" i="8"/>
  <c r="E65" i="8"/>
  <c r="E52" i="8"/>
  <c r="E54" i="8" s="1"/>
  <c r="E66" i="8"/>
  <c r="E47" i="8"/>
  <c r="E49" i="8" s="1"/>
  <c r="E69" i="8"/>
  <c r="E60" i="8"/>
  <c r="E38" i="8"/>
  <c r="E62" i="8" s="1"/>
  <c r="G52" i="8"/>
  <c r="G54" i="8" s="1"/>
  <c r="G69" i="8"/>
  <c r="G60" i="8"/>
  <c r="G66" i="8"/>
  <c r="G47" i="8"/>
  <c r="G38" i="8"/>
  <c r="G62" i="8" s="1"/>
  <c r="B43" i="3"/>
  <c r="C43" i="3"/>
  <c r="E37" i="3"/>
  <c r="E65" i="3"/>
  <c r="E68" i="3"/>
  <c r="E52" i="3"/>
  <c r="E60" i="3"/>
  <c r="E47" i="3"/>
  <c r="G52" i="3"/>
  <c r="G60" i="3"/>
  <c r="G47" i="3"/>
  <c r="F43" i="4"/>
  <c r="D43" i="4"/>
  <c r="C44" i="4"/>
  <c r="E65" i="4"/>
  <c r="G68" i="4"/>
  <c r="G69" i="4"/>
  <c r="C47" i="2"/>
  <c r="C47" i="9"/>
  <c r="D52" i="4"/>
  <c r="C52" i="4"/>
  <c r="E44" i="2"/>
  <c r="E44" i="10"/>
  <c r="E44" i="9"/>
  <c r="E65" i="10"/>
  <c r="F52" i="4"/>
  <c r="F52" i="2"/>
  <c r="F52" i="9"/>
  <c r="G43" i="2"/>
  <c r="G43" i="10"/>
  <c r="G43" i="9"/>
  <c r="G44" i="2"/>
  <c r="G44" i="10"/>
  <c r="G44" i="9"/>
  <c r="C52" i="7"/>
  <c r="C54" i="7" s="1"/>
  <c r="D52" i="7"/>
  <c r="C66" i="7"/>
  <c r="C69" i="7"/>
  <c r="C38" i="7"/>
  <c r="C60" i="8"/>
  <c r="C37" i="8"/>
  <c r="C49" i="8"/>
  <c r="C52" i="8"/>
  <c r="C54" i="8" s="1"/>
  <c r="D52" i="8"/>
  <c r="C69" i="8"/>
  <c r="C66" i="8"/>
  <c r="C38" i="8"/>
  <c r="C60" i="3"/>
  <c r="C37" i="3"/>
  <c r="C52" i="3"/>
  <c r="D52" i="3"/>
  <c r="G43" i="4"/>
  <c r="E43" i="4"/>
  <c r="C43" i="4"/>
  <c r="F44" i="4"/>
  <c r="D44" i="4"/>
  <c r="G65" i="4"/>
  <c r="E66" i="4"/>
  <c r="E68" i="4"/>
  <c r="E69" i="4"/>
  <c r="C66" i="4"/>
  <c r="C69" i="4"/>
  <c r="C62" i="8" l="1"/>
  <c r="G68" i="7"/>
  <c r="G65" i="7"/>
  <c r="G68" i="3"/>
  <c r="G65" i="3"/>
  <c r="D52" i="10"/>
  <c r="C66" i="10"/>
  <c r="C52" i="10"/>
  <c r="C69" i="10"/>
  <c r="C38" i="10"/>
  <c r="E67" i="8"/>
  <c r="G52" i="9"/>
  <c r="G47" i="9"/>
  <c r="G60" i="9"/>
  <c r="E52" i="9"/>
  <c r="E60" i="9"/>
  <c r="E47" i="9"/>
  <c r="E52" i="2"/>
  <c r="E60" i="2"/>
  <c r="E47" i="2"/>
  <c r="E60" i="10"/>
  <c r="E37" i="10"/>
  <c r="B44" i="10"/>
  <c r="C44" i="10"/>
  <c r="G65" i="8"/>
  <c r="G68" i="8"/>
  <c r="G48" i="8"/>
  <c r="G49" i="8" s="1"/>
  <c r="F52" i="10"/>
  <c r="D52" i="9"/>
  <c r="C52" i="9"/>
  <c r="D52" i="2"/>
  <c r="C52" i="2"/>
  <c r="C47" i="10"/>
  <c r="G52" i="10"/>
  <c r="G47" i="10"/>
  <c r="G52" i="2"/>
  <c r="G47" i="2"/>
  <c r="G60" i="2"/>
  <c r="G60" i="10"/>
  <c r="G37" i="10"/>
  <c r="E52" i="10"/>
  <c r="E47" i="10"/>
  <c r="E68" i="10"/>
  <c r="B43" i="10"/>
  <c r="C43" i="10"/>
  <c r="C53" i="10"/>
  <c r="C60" i="10"/>
  <c r="C67" i="8"/>
  <c r="B60" i="10" l="1"/>
  <c r="G53" i="3"/>
  <c r="G54" i="3" s="1"/>
  <c r="G66" i="3"/>
  <c r="G48" i="3"/>
  <c r="G49" i="3" s="1"/>
  <c r="G67" i="3" s="1"/>
  <c r="G69" i="3"/>
  <c r="G36" i="3"/>
  <c r="B52" i="10"/>
  <c r="B47" i="10"/>
  <c r="G67" i="8"/>
  <c r="E53" i="3"/>
  <c r="E54" i="3" s="1"/>
  <c r="E69" i="3"/>
  <c r="E36" i="3"/>
  <c r="E66" i="3"/>
  <c r="E48" i="3"/>
  <c r="E49" i="3" s="1"/>
  <c r="C54" i="3"/>
  <c r="C66" i="3"/>
  <c r="C49" i="3"/>
  <c r="C69" i="3"/>
  <c r="C36" i="3"/>
  <c r="C54" i="10"/>
  <c r="G68" i="10"/>
  <c r="G65" i="10"/>
  <c r="C61" i="3" l="1"/>
  <c r="C38" i="3"/>
  <c r="C62" i="3" s="1"/>
  <c r="B36" i="3"/>
  <c r="B73" i="3"/>
  <c r="E61" i="3"/>
  <c r="E38" i="3"/>
  <c r="E62" i="3" s="1"/>
  <c r="G61" i="3"/>
  <c r="G38" i="3"/>
  <c r="G62" i="3" s="1"/>
  <c r="C67" i="3"/>
  <c r="E67" i="3"/>
  <c r="G36" i="4"/>
  <c r="G38" i="4" s="1"/>
  <c r="B43" i="8"/>
  <c r="B43" i="7"/>
  <c r="B44" i="3"/>
  <c r="B44" i="4"/>
  <c r="B44" i="8"/>
  <c r="B44" i="7"/>
  <c r="E53" i="7" l="1"/>
  <c r="E54" i="7" s="1"/>
  <c r="E69" i="7"/>
  <c r="E66" i="7"/>
  <c r="E48" i="7"/>
  <c r="E49" i="7" s="1"/>
  <c r="E36" i="7"/>
  <c r="B60" i="4" l="1"/>
  <c r="B52" i="4"/>
  <c r="E61" i="7"/>
  <c r="E38" i="7"/>
  <c r="E62" i="7" s="1"/>
  <c r="E67" i="7"/>
  <c r="E53" i="10"/>
  <c r="E54" i="10" s="1"/>
  <c r="E66" i="10"/>
  <c r="E36" i="10"/>
  <c r="E48" i="10"/>
  <c r="E49" i="10" s="1"/>
  <c r="E67" i="10" s="1"/>
  <c r="E69" i="10"/>
  <c r="B66" i="4"/>
  <c r="B69" i="4"/>
  <c r="C49" i="7" l="1"/>
  <c r="E61" i="10"/>
  <c r="E38" i="10"/>
  <c r="E62" i="10" s="1"/>
  <c r="G36" i="2"/>
  <c r="B72" i="4" l="1"/>
  <c r="B68" i="4"/>
  <c r="B65" i="4"/>
  <c r="C67" i="7"/>
  <c r="C65" i="10"/>
  <c r="C49" i="10"/>
  <c r="C68" i="10"/>
  <c r="E68" i="2"/>
  <c r="E65" i="2"/>
  <c r="G68" i="2"/>
  <c r="G65" i="2"/>
  <c r="C53" i="2"/>
  <c r="C54" i="2" s="1"/>
  <c r="G35" i="9"/>
  <c r="G37" i="9" s="1"/>
  <c r="E35" i="9"/>
  <c r="E37" i="9" s="1"/>
  <c r="C54" i="9" l="1"/>
  <c r="C67" i="10"/>
  <c r="B65" i="10"/>
  <c r="B68" i="10"/>
  <c r="C65" i="9"/>
  <c r="C68" i="9"/>
  <c r="E65" i="9"/>
  <c r="E68" i="9"/>
  <c r="G65" i="9"/>
  <c r="G68" i="9"/>
  <c r="C66" i="2"/>
  <c r="C69" i="2"/>
  <c r="C49" i="2"/>
  <c r="C66" i="9"/>
  <c r="C49" i="9"/>
  <c r="C36" i="9"/>
  <c r="C69" i="9"/>
  <c r="C65" i="2"/>
  <c r="C68" i="2"/>
  <c r="B44" i="2"/>
  <c r="B43" i="2"/>
  <c r="B44" i="9"/>
  <c r="B43" i="9"/>
  <c r="G38" i="2"/>
  <c r="C36" i="2"/>
  <c r="G35" i="2"/>
  <c r="G61" i="2" s="1"/>
  <c r="E35" i="2"/>
  <c r="E37" i="2" s="1"/>
  <c r="B53" i="3"/>
  <c r="B35" i="3"/>
  <c r="B52" i="3"/>
  <c r="B54" i="3" l="1"/>
  <c r="C67" i="2"/>
  <c r="B37" i="3"/>
  <c r="B61" i="3"/>
  <c r="B65" i="3"/>
  <c r="B68" i="3"/>
  <c r="B48" i="3"/>
  <c r="B52" i="9"/>
  <c r="B65" i="2"/>
  <c r="B68" i="2"/>
  <c r="B52" i="2"/>
  <c r="B47" i="2"/>
  <c r="B69" i="3"/>
  <c r="B66" i="3"/>
  <c r="B60" i="3"/>
  <c r="B47" i="3"/>
  <c r="B49" i="3" s="1"/>
  <c r="B38" i="3"/>
  <c r="C38" i="9"/>
  <c r="B65" i="9"/>
  <c r="C67" i="9"/>
  <c r="B68" i="9"/>
  <c r="B47" i="9"/>
  <c r="B72" i="3"/>
  <c r="G37" i="2"/>
  <c r="G62" i="2" s="1"/>
  <c r="C38" i="2"/>
  <c r="B35" i="8"/>
  <c r="B52" i="7"/>
  <c r="B62" i="3" l="1"/>
  <c r="B68" i="7"/>
  <c r="B65" i="7"/>
  <c r="C35" i="7"/>
  <c r="B52" i="8"/>
  <c r="B54" i="8" s="1"/>
  <c r="B37" i="8"/>
  <c r="B61" i="8"/>
  <c r="G53" i="7"/>
  <c r="G54" i="7" s="1"/>
  <c r="G66" i="7"/>
  <c r="G48" i="7"/>
  <c r="G49" i="7" s="1"/>
  <c r="G36" i="7"/>
  <c r="G69" i="7"/>
  <c r="B66" i="7"/>
  <c r="B68" i="8"/>
  <c r="B48" i="8"/>
  <c r="B65" i="8"/>
  <c r="B67" i="3"/>
  <c r="B69" i="8"/>
  <c r="B66" i="8"/>
  <c r="B60" i="8"/>
  <c r="B47" i="8"/>
  <c r="B38" i="8"/>
  <c r="B62" i="8" s="1"/>
  <c r="B69" i="7"/>
  <c r="B60" i="7"/>
  <c r="B47" i="7"/>
  <c r="B35" i="7"/>
  <c r="B37" i="7" s="1"/>
  <c r="E53" i="2"/>
  <c r="E54" i="2" s="1"/>
  <c r="C35" i="9"/>
  <c r="G53" i="2"/>
  <c r="G54" i="2" s="1"/>
  <c r="G53" i="9"/>
  <c r="G54" i="9" s="1"/>
  <c r="B72" i="8"/>
  <c r="G60" i="4"/>
  <c r="E60" i="4"/>
  <c r="C60" i="4"/>
  <c r="G53" i="4"/>
  <c r="E53" i="4"/>
  <c r="G48" i="4"/>
  <c r="E48" i="4"/>
  <c r="G47" i="4"/>
  <c r="E47" i="4"/>
  <c r="E49" i="4" s="1"/>
  <c r="C47" i="4"/>
  <c r="E36" i="4"/>
  <c r="E38" i="4" s="1"/>
  <c r="C36" i="4"/>
  <c r="C38" i="4" s="1"/>
  <c r="G35" i="4"/>
  <c r="G37" i="4" s="1"/>
  <c r="E35" i="4"/>
  <c r="E37" i="4" s="1"/>
  <c r="C35" i="4"/>
  <c r="C37" i="4" s="1"/>
  <c r="B35" i="4"/>
  <c r="B37" i="4" s="1"/>
  <c r="B49" i="8" l="1"/>
  <c r="E53" i="9"/>
  <c r="E54" i="9" s="1"/>
  <c r="B53" i="9"/>
  <c r="B54" i="9" s="1"/>
  <c r="B53" i="7"/>
  <c r="B54" i="7" s="1"/>
  <c r="B73" i="7"/>
  <c r="B48" i="7"/>
  <c r="B49" i="7" s="1"/>
  <c r="B67" i="7" s="1"/>
  <c r="B36" i="7"/>
  <c r="G61" i="7"/>
  <c r="G38" i="7"/>
  <c r="G62" i="7" s="1"/>
  <c r="G67" i="7"/>
  <c r="C37" i="7"/>
  <c r="C62" i="7" s="1"/>
  <c r="C61" i="7"/>
  <c r="G53" i="10"/>
  <c r="G54" i="10" s="1"/>
  <c r="G69" i="10"/>
  <c r="G66" i="10"/>
  <c r="G36" i="10"/>
  <c r="G48" i="10"/>
  <c r="G49" i="10" s="1"/>
  <c r="B35" i="10"/>
  <c r="B37" i="10" s="1"/>
  <c r="C35" i="10"/>
  <c r="B72" i="9"/>
  <c r="B72" i="10"/>
  <c r="B72" i="7"/>
  <c r="B67" i="8"/>
  <c r="G66" i="9"/>
  <c r="G69" i="9"/>
  <c r="G48" i="9"/>
  <c r="G49" i="9" s="1"/>
  <c r="G36" i="9"/>
  <c r="C37" i="9"/>
  <c r="C62" i="9" s="1"/>
  <c r="C61" i="9"/>
  <c r="E69" i="9"/>
  <c r="E66" i="9"/>
  <c r="E48" i="9"/>
  <c r="E49" i="9" s="1"/>
  <c r="E36" i="9"/>
  <c r="G69" i="2"/>
  <c r="G66" i="2"/>
  <c r="G48" i="2"/>
  <c r="G49" i="2" s="1"/>
  <c r="E66" i="2"/>
  <c r="E48" i="2"/>
  <c r="E49" i="2" s="1"/>
  <c r="E69" i="2"/>
  <c r="E54" i="4"/>
  <c r="B73" i="4"/>
  <c r="G62" i="4"/>
  <c r="G61" i="4"/>
  <c r="G49" i="4"/>
  <c r="G67" i="4" s="1"/>
  <c r="C54" i="4"/>
  <c r="G54" i="4"/>
  <c r="B60" i="2"/>
  <c r="B66" i="9"/>
  <c r="E36" i="2"/>
  <c r="B35" i="9"/>
  <c r="C35" i="2"/>
  <c r="C61" i="2" s="1"/>
  <c r="B35" i="2"/>
  <c r="E61" i="4"/>
  <c r="E62" i="4"/>
  <c r="C61" i="4"/>
  <c r="B72" i="2"/>
  <c r="C49" i="4"/>
  <c r="C67" i="4" s="1"/>
  <c r="E67" i="4"/>
  <c r="B36" i="4"/>
  <c r="C62" i="4"/>
  <c r="B47" i="4"/>
  <c r="B48" i="4"/>
  <c r="G67" i="10" l="1"/>
  <c r="C37" i="10"/>
  <c r="C62" i="10" s="1"/>
  <c r="C61" i="10"/>
  <c r="B53" i="10"/>
  <c r="B54" i="10" s="1"/>
  <c r="B73" i="10"/>
  <c r="B66" i="10"/>
  <c r="B69" i="10"/>
  <c r="B36" i="10"/>
  <c r="B48" i="10"/>
  <c r="B49" i="10" s="1"/>
  <c r="G61" i="10"/>
  <c r="G38" i="10"/>
  <c r="G62" i="10" s="1"/>
  <c r="B61" i="7"/>
  <c r="B38" i="7"/>
  <c r="B62" i="7" s="1"/>
  <c r="B61" i="4"/>
  <c r="B38" i="4"/>
  <c r="B62" i="4" s="1"/>
  <c r="B73" i="2"/>
  <c r="B53" i="2"/>
  <c r="B54" i="2" s="1"/>
  <c r="B37" i="9"/>
  <c r="E38" i="2"/>
  <c r="E62" i="2" s="1"/>
  <c r="E61" i="2"/>
  <c r="E61" i="9"/>
  <c r="E38" i="9"/>
  <c r="E62" i="9" s="1"/>
  <c r="B66" i="2"/>
  <c r="B48" i="2"/>
  <c r="B49" i="2" s="1"/>
  <c r="B69" i="2"/>
  <c r="E67" i="2"/>
  <c r="G67" i="2"/>
  <c r="E67" i="9"/>
  <c r="G38" i="9"/>
  <c r="G62" i="9" s="1"/>
  <c r="G61" i="9"/>
  <c r="G67" i="9"/>
  <c r="B73" i="9"/>
  <c r="B48" i="9"/>
  <c r="B49" i="9" s="1"/>
  <c r="B36" i="9"/>
  <c r="B69" i="9"/>
  <c r="B60" i="9"/>
  <c r="B37" i="2"/>
  <c r="B36" i="2"/>
  <c r="B61" i="2" s="1"/>
  <c r="C37" i="2"/>
  <c r="C62" i="2" s="1"/>
  <c r="B54" i="4"/>
  <c r="B49" i="4"/>
  <c r="B67" i="4" s="1"/>
  <c r="B38" i="10" l="1"/>
  <c r="B62" i="10" s="1"/>
  <c r="B61" i="10"/>
  <c r="B67" i="10"/>
  <c r="B67" i="2"/>
  <c r="B67" i="9"/>
  <c r="B61" i="9"/>
  <c r="B38" i="9"/>
  <c r="B62" i="9" s="1"/>
  <c r="B38" i="2"/>
  <c r="B62" i="2" s="1"/>
</calcChain>
</file>

<file path=xl/sharedStrings.xml><?xml version="1.0" encoding="utf-8"?>
<sst xmlns="http://schemas.openxmlformats.org/spreadsheetml/2006/main" count="585" uniqueCount="134">
  <si>
    <t>Indicador</t>
  </si>
  <si>
    <t>Total</t>
  </si>
  <si>
    <t>Productos</t>
  </si>
  <si>
    <t>programa</t>
  </si>
  <si>
    <t>Comidas Servidas</t>
  </si>
  <si>
    <t>DAF</t>
  </si>
  <si>
    <t>Insumos</t>
  </si>
  <si>
    <t xml:space="preserve">Beneficiarios </t>
  </si>
  <si>
    <t>Efectivos 1T 2011</t>
  </si>
  <si>
    <t>Gasto FODESAF</t>
  </si>
  <si>
    <t>Ingresos FODESAF</t>
  </si>
  <si>
    <t>Otros insumos</t>
  </si>
  <si>
    <t>IPC (1T 2011)</t>
  </si>
  <si>
    <t>Población objetivo</t>
  </si>
  <si>
    <t>Cálculos intermedios</t>
  </si>
  <si>
    <t>Gasto efectivo real 1T 2011</t>
  </si>
  <si>
    <t>Gasto efectivo real por beneficiario 1T 2011</t>
  </si>
  <si>
    <t>Indicadores</t>
  </si>
  <si>
    <t>De Cobertura Potencial</t>
  </si>
  <si>
    <t>Cobertura Programada</t>
  </si>
  <si>
    <t>Cobertura Efectiva</t>
  </si>
  <si>
    <t>De resultado</t>
  </si>
  <si>
    <t>Índice efectividad en beneficiarios (IEB)</t>
  </si>
  <si>
    <t xml:space="preserve">Índice efectividad en gasto (IEG) </t>
  </si>
  <si>
    <t>Índice efectividad total (IET)</t>
  </si>
  <si>
    <t xml:space="preserve">De avance </t>
  </si>
  <si>
    <t xml:space="preserve">Índice avance beneficiarios (IAB) </t>
  </si>
  <si>
    <t>Índice avance gasto (IAG)</t>
  </si>
  <si>
    <t xml:space="preserve">Índice avance total (IAT) </t>
  </si>
  <si>
    <t>Índice transferencia efectiva del gasto (ITG)</t>
  </si>
  <si>
    <t>De expansión</t>
  </si>
  <si>
    <t xml:space="preserve">Índice de crecimiento beneficiarios (ICB) </t>
  </si>
  <si>
    <t xml:space="preserve">Índice de crecimiento del gasto real (ICGR) </t>
  </si>
  <si>
    <t xml:space="preserve">Índice de crecimiento del gasto real por beneficiario (ICGRB) </t>
  </si>
  <si>
    <t>De gasto medio</t>
  </si>
  <si>
    <t xml:space="preserve">Gasto programado por beneficiario (GPB) </t>
  </si>
  <si>
    <t xml:space="preserve">Gasto efectivo por beneficiario (GEB) </t>
  </si>
  <si>
    <t xml:space="preserve">Índice de eficiencia (IE) </t>
  </si>
  <si>
    <t>De giro de recursos</t>
  </si>
  <si>
    <t>Índice de giro efectivo (IGE)</t>
  </si>
  <si>
    <t xml:space="preserve">Índice de uso de recursos (IUR) </t>
  </si>
  <si>
    <t>Efectivos 2T 2011</t>
  </si>
  <si>
    <t>IPC (2T 2011)</t>
  </si>
  <si>
    <t>Gasto efectivo real 2T 2011</t>
  </si>
  <si>
    <t>Gasto efectivo real por beneficiario 2T 2011</t>
  </si>
  <si>
    <t>Efectivos 3T 2011</t>
  </si>
  <si>
    <t>IPC (3T 2011)</t>
  </si>
  <si>
    <t>Gasto efectivo real 3T 2011</t>
  </si>
  <si>
    <t>Gasto efectivo real por beneficiario 3T 2011</t>
  </si>
  <si>
    <t>Efectivos  2011</t>
  </si>
  <si>
    <t>IPC ( 2011)</t>
  </si>
  <si>
    <t>Gasto efectivo real  2011</t>
  </si>
  <si>
    <t>Gasto efectivo real por beneficiario  2011</t>
  </si>
  <si>
    <t>Efectivos 1S 2011</t>
  </si>
  <si>
    <t>IPC (1S 2011)</t>
  </si>
  <si>
    <t>Gasto efectivo real 1S 2011</t>
  </si>
  <si>
    <t>Gasto efectivo real por beneficiario 1S 2011</t>
  </si>
  <si>
    <t>Efectivos 4T 2011</t>
  </si>
  <si>
    <t>IPC (4T 2011)</t>
  </si>
  <si>
    <t>Gasto efectivo real 4T 2011</t>
  </si>
  <si>
    <t>Gasto efectivo real por beneficiario 4T 2011</t>
  </si>
  <si>
    <t>(Niños de 2 a 6 años)</t>
  </si>
  <si>
    <t xml:space="preserve">Gasto efectivo trimestral por beneficiario (GEB) </t>
  </si>
  <si>
    <t xml:space="preserve">Gasto programado trimestral por beneficiario (GPB) </t>
  </si>
  <si>
    <t>De composición</t>
  </si>
  <si>
    <t xml:space="preserve">Gasto programado acumulado por beneficiario (GPB) </t>
  </si>
  <si>
    <t xml:space="preserve">Gasto efectivo acumulado por beneficiario (GEB) </t>
  </si>
  <si>
    <t>NOTAS</t>
  </si>
  <si>
    <t xml:space="preserve">Gasto mensual programado por beneficiario (GPB) </t>
  </si>
  <si>
    <t xml:space="preserve">Gasto mensual efectivo por beneficiario (GEB) </t>
  </si>
  <si>
    <t xml:space="preserve">Gasto programado mensual por beneficiario (GPB) </t>
  </si>
  <si>
    <t xml:space="preserve">Gasto efectivo mensual por beneficiario (GEB) </t>
  </si>
  <si>
    <t>Intramuros</t>
  </si>
  <si>
    <t>Extramuros</t>
  </si>
  <si>
    <t>700 y 800</t>
  </si>
  <si>
    <t>El cálculo de beneficiarios del trimestre se toma como el promedio de los individuos atendidos en los tres meses, debido a que el grueso de la población es la misma a través del período.</t>
  </si>
  <si>
    <t>Para el cálculo de Costos Medios por beneficiario en el caso de leche, se toma el total de beneficiarios de leche (1600, 800 y 700 grs). Debido a que no se puede separar el rubro de gasto en leche</t>
  </si>
  <si>
    <t>Construcciones</t>
  </si>
  <si>
    <t>Red de cuido</t>
  </si>
  <si>
    <t>Leche  (kg)</t>
  </si>
  <si>
    <t>Los beneficiarios se miden como comidas servidas intramuros + leche 1600 para evitar la duplicación de individuos, debido a que un mismo individuo puede recibir varios beneficios del programa.</t>
  </si>
  <si>
    <t>Los beneficiarios se miden como comidas servidas intramuros+ leche 1600 para evitar la duplicación de individuos, debido a que un mismo individuo puede recibir varios beneficios del programa.</t>
  </si>
  <si>
    <t>Indicadores propuestos aplicado a CEN-CINAI. Primer trimestre 2012</t>
  </si>
  <si>
    <t>Programados 1T 2012</t>
  </si>
  <si>
    <t>Efectivos 1T 2012</t>
  </si>
  <si>
    <t>Programados año 2012</t>
  </si>
  <si>
    <t>En transferencias 1T 2012</t>
  </si>
  <si>
    <t>IPC (1T 2012)</t>
  </si>
  <si>
    <t>Gasto efectivo real 1T 2012</t>
  </si>
  <si>
    <t>Gasto efectivo real por beneficiario 1T 2012</t>
  </si>
  <si>
    <t>Fuentes: Informes trimestrales, CEN CINAI, 2012</t>
  </si>
  <si>
    <t>Plan Anual Operativo CEN-CINAI 2012.</t>
  </si>
  <si>
    <t>Indicadores propuestos aplicado a CEN-CINAI. Segundo trimestre 2012</t>
  </si>
  <si>
    <t>Programados 2T 2012</t>
  </si>
  <si>
    <t>Efectivos 2T 2012</t>
  </si>
  <si>
    <t>En transferencias 2T 2012</t>
  </si>
  <si>
    <t>IPC (2T 2012)</t>
  </si>
  <si>
    <t>Gasto efectivo real 2T 2012</t>
  </si>
  <si>
    <t>Gasto efectivo real por beneficiario 2T 2012</t>
  </si>
  <si>
    <t>Indicadores propuestos aplicado a CEN-CINAI. Tercer trimestre 2012</t>
  </si>
  <si>
    <t>Programados 3T 2012</t>
  </si>
  <si>
    <t>Efectivos 3T 2012</t>
  </si>
  <si>
    <t>En transferencias 3T 2012</t>
  </si>
  <si>
    <t>IPC (3T 2012)</t>
  </si>
  <si>
    <t>Gasto efectivo real 3T 2012</t>
  </si>
  <si>
    <t>Gasto efectivo real por beneficiario 3T 2012</t>
  </si>
  <si>
    <t>Indicadores propuestos aplicado a CEN-CINAI. Cuarto trimestre 2012</t>
  </si>
  <si>
    <t>Programados 4T 2012</t>
  </si>
  <si>
    <t>Efectivos 4T 2012</t>
  </si>
  <si>
    <t>En transferencias 4T 2012</t>
  </si>
  <si>
    <t>IPC (4T 2012)</t>
  </si>
  <si>
    <t>Gasto efectivo real 4T 2012</t>
  </si>
  <si>
    <t>Gasto efectivo real por beneficiario 4T 2012</t>
  </si>
  <si>
    <t>Indicadores propuestos aplicado a CEN-CINAI. Primer Semestre 2012</t>
  </si>
  <si>
    <t>Programados 1S 2012</t>
  </si>
  <si>
    <t>Efectivos 1S 2012</t>
  </si>
  <si>
    <t>En transferencias 1S 2012</t>
  </si>
  <si>
    <t>IPC (1S 2012)</t>
  </si>
  <si>
    <t>Gasto efectivo real 1S 2012</t>
  </si>
  <si>
    <t>Gasto efectivo real por beneficiario 1S 2012</t>
  </si>
  <si>
    <t>Indicadores propuestos aplicado a CEN-CINAI. Tercer trimestre ACUMULADO 2012</t>
  </si>
  <si>
    <t>Indicadores propuestos aplicado a CEN-CINAI. Año 2012</t>
  </si>
  <si>
    <t>Programados  2012</t>
  </si>
  <si>
    <t>Efectivos  2012</t>
  </si>
  <si>
    <t>En transferencias  2012</t>
  </si>
  <si>
    <t>IPC ( 2012)</t>
  </si>
  <si>
    <t>Gasto efectivo real  2012</t>
  </si>
  <si>
    <t>Gasto efectivo real por beneficiario  2012</t>
  </si>
  <si>
    <t>Informe de Liquidación FODESAF 2011.</t>
  </si>
  <si>
    <t>n.a.</t>
  </si>
  <si>
    <t>Equipamiento</t>
  </si>
  <si>
    <t>n.a</t>
  </si>
  <si>
    <t>27 obras</t>
  </si>
  <si>
    <t>18 obras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</si>
</sst>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____"/>
    <numFmt numFmtId="165" formatCode="#,##0.0"/>
    <numFmt numFmtId="166" formatCode="_(* #,##0_);_(* \(#,##0\);_(* &quot;-&quot;??_);_(@_)"/>
    <numFmt numFmtId="167" formatCode="#,##0____"/>
    <numFmt numFmtId="168" formatCode="&quot;$&quot;#,##0.00"/>
  </numFmts>
  <fonts count="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2"/>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1" fillId="0" borderId="0" applyFont="0" applyFill="0" applyBorder="0" applyAlignment="0" applyProtection="0"/>
  </cellStyleXfs>
  <cellXfs count="60">
    <xf numFmtId="0" fontId="0" fillId="0" borderId="0" xfId="0"/>
    <xf numFmtId="0" fontId="0" fillId="0" borderId="3" xfId="0" applyBorder="1" applyAlignment="1">
      <alignment horizontal="center"/>
    </xf>
    <xf numFmtId="0" fontId="3" fillId="0" borderId="0" xfId="0" applyFont="1"/>
    <xf numFmtId="0" fontId="0" fillId="0" borderId="0" xfId="0" applyAlignment="1">
      <alignment horizontal="left" indent="1"/>
    </xf>
    <xf numFmtId="3" fontId="0" fillId="0" borderId="0" xfId="0" applyNumberFormat="1"/>
    <xf numFmtId="3" fontId="0" fillId="0" borderId="0" xfId="0" applyNumberFormat="1" applyFill="1"/>
    <xf numFmtId="0" fontId="0" fillId="0" borderId="0" xfId="0" applyAlignment="1">
      <alignment horizontal="left"/>
    </xf>
    <xf numFmtId="0" fontId="2" fillId="0" borderId="0" xfId="0" applyFont="1"/>
    <xf numFmtId="164" fontId="0" fillId="0" borderId="0" xfId="0" applyNumberFormat="1"/>
    <xf numFmtId="164" fontId="0" fillId="0" borderId="0" xfId="0" applyNumberFormat="1" applyFill="1"/>
    <xf numFmtId="0" fontId="0" fillId="0" borderId="3" xfId="0" applyBorder="1"/>
    <xf numFmtId="165" fontId="0" fillId="0" borderId="0" xfId="0" applyNumberFormat="1"/>
    <xf numFmtId="43" fontId="0" fillId="0" borderId="0" xfId="1" applyFont="1"/>
    <xf numFmtId="166" fontId="0" fillId="0" borderId="0" xfId="1" applyNumberFormat="1" applyFont="1"/>
    <xf numFmtId="0" fontId="0" fillId="0" borderId="1" xfId="0" applyBorder="1" applyAlignment="1">
      <alignment horizontal="center"/>
    </xf>
    <xf numFmtId="0" fontId="6" fillId="0" borderId="0" xfId="0" applyFont="1" applyAlignment="1">
      <alignment horizontal="left" indent="1"/>
    </xf>
    <xf numFmtId="0" fontId="6" fillId="0" borderId="0" xfId="0" applyFont="1" applyAlignment="1">
      <alignment horizontal="left" indent="2"/>
    </xf>
    <xf numFmtId="167" fontId="0" fillId="0" borderId="0" xfId="0" applyNumberFormat="1" applyFill="1"/>
    <xf numFmtId="3" fontId="0" fillId="2" borderId="0" xfId="0" applyNumberFormat="1" applyFill="1"/>
    <xf numFmtId="0" fontId="0" fillId="0" borderId="0" xfId="0" applyFill="1"/>
    <xf numFmtId="0" fontId="0" fillId="0" borderId="0" xfId="0" applyFill="1" applyBorder="1"/>
    <xf numFmtId="167" fontId="0" fillId="2" borderId="0" xfId="0" applyNumberFormat="1" applyFill="1"/>
    <xf numFmtId="0" fontId="0" fillId="0" borderId="0" xfId="0" applyAlignment="1">
      <alignment horizontal="center"/>
    </xf>
    <xf numFmtId="166" fontId="0" fillId="0" borderId="0" xfId="1" applyNumberFormat="1" applyFont="1" applyFill="1"/>
    <xf numFmtId="0" fontId="2" fillId="0" borderId="0" xfId="0" applyFont="1" applyFill="1"/>
    <xf numFmtId="43" fontId="0" fillId="0" borderId="0" xfId="1" applyFont="1" applyFill="1"/>
    <xf numFmtId="166" fontId="0" fillId="0" borderId="0" xfId="1" applyNumberFormat="1" applyFont="1" applyAlignment="1"/>
    <xf numFmtId="3" fontId="0" fillId="0" borderId="0" xfId="0" applyNumberFormat="1" applyAlignment="1"/>
    <xf numFmtId="168" fontId="0" fillId="0" borderId="0" xfId="0" applyNumberFormat="1"/>
    <xf numFmtId="0" fontId="0" fillId="0" borderId="0" xfId="0" applyFill="1" applyAlignment="1">
      <alignment horizontal="left"/>
    </xf>
    <xf numFmtId="0" fontId="0" fillId="0" borderId="0" xfId="0" applyFill="1" applyAlignment="1">
      <alignment horizontal="left" indent="1"/>
    </xf>
    <xf numFmtId="2" fontId="0" fillId="0" borderId="0" xfId="0" applyNumberFormat="1" applyFill="1"/>
    <xf numFmtId="0" fontId="3" fillId="0" borderId="0" xfId="0" applyFont="1" applyFill="1"/>
    <xf numFmtId="3" fontId="0" fillId="0" borderId="0" xfId="0" applyNumberFormat="1" applyFill="1" applyAlignment="1">
      <alignment horizontal="right"/>
    </xf>
    <xf numFmtId="3" fontId="4" fillId="0" borderId="0" xfId="0" applyNumberFormat="1" applyFont="1" applyFill="1"/>
    <xf numFmtId="3" fontId="2" fillId="0" borderId="0" xfId="0" applyNumberFormat="1" applyFont="1" applyFill="1"/>
    <xf numFmtId="0" fontId="0" fillId="0" borderId="3" xfId="0" applyFill="1" applyBorder="1"/>
    <xf numFmtId="165" fontId="0" fillId="0" borderId="0" xfId="0" applyNumberFormat="1" applyFill="1"/>
    <xf numFmtId="0" fontId="0" fillId="0" borderId="1" xfId="0" applyFill="1" applyBorder="1" applyAlignment="1">
      <alignment horizontal="center"/>
    </xf>
    <xf numFmtId="0" fontId="0" fillId="0" borderId="3" xfId="0" applyFill="1" applyBorder="1" applyAlignment="1">
      <alignment horizontal="center"/>
    </xf>
    <xf numFmtId="0" fontId="0" fillId="0" borderId="0" xfId="0" applyFill="1" applyAlignment="1">
      <alignment horizontal="center"/>
    </xf>
    <xf numFmtId="166" fontId="0" fillId="0" borderId="0" xfId="0" applyNumberFormat="1" applyFill="1"/>
    <xf numFmtId="0" fontId="6" fillId="0" borderId="0" xfId="0" applyFont="1" applyFill="1" applyAlignment="1">
      <alignment horizontal="left" indent="2"/>
    </xf>
    <xf numFmtId="3" fontId="0" fillId="0" borderId="0" xfId="0" applyNumberFormat="1" applyFill="1" applyAlignment="1"/>
    <xf numFmtId="0" fontId="6" fillId="0" borderId="0" xfId="0" applyFont="1" applyFill="1" applyAlignment="1">
      <alignment horizontal="left" indent="1"/>
    </xf>
    <xf numFmtId="0" fontId="0" fillId="0" borderId="1" xfId="0" applyBorder="1" applyAlignment="1">
      <alignment horizontal="center" vertical="center"/>
    </xf>
    <xf numFmtId="0" fontId="0" fillId="0" borderId="3" xfId="0" applyBorder="1" applyAlignment="1">
      <alignment horizontal="center" vertical="center"/>
    </xf>
    <xf numFmtId="0" fontId="5" fillId="0" borderId="0" xfId="0" applyFont="1" applyAlignment="1">
      <alignment horizontal="center"/>
    </xf>
    <xf numFmtId="0" fontId="0" fillId="0" borderId="3" xfId="0" applyBorder="1" applyAlignment="1">
      <alignment horizontal="center"/>
    </xf>
    <xf numFmtId="0" fontId="0" fillId="0" borderId="2" xfId="0" applyBorder="1" applyAlignment="1">
      <alignment horizontal="center"/>
    </xf>
    <xf numFmtId="3" fontId="0" fillId="0" borderId="0" xfId="0" applyNumberFormat="1" applyFill="1" applyAlignment="1">
      <alignment horizontal="center"/>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5" fillId="0" borderId="0" xfId="0" applyFont="1" applyFill="1" applyAlignment="1">
      <alignment horizontal="center"/>
    </xf>
    <xf numFmtId="0" fontId="0" fillId="0" borderId="3" xfId="0" applyFill="1" applyBorder="1" applyAlignment="1">
      <alignment horizontal="center"/>
    </xf>
    <xf numFmtId="0" fontId="0" fillId="0" borderId="2" xfId="0" applyFill="1" applyBorder="1" applyAlignment="1">
      <alignment horizontal="center"/>
    </xf>
    <xf numFmtId="3" fontId="0" fillId="0" borderId="0" xfId="0" applyNumberFormat="1" applyAlignment="1">
      <alignment horizontal="center"/>
    </xf>
    <xf numFmtId="3" fontId="0" fillId="0" borderId="0" xfId="0" applyNumberFormat="1" applyAlignment="1">
      <alignment horizontal="center" wrapText="1"/>
    </xf>
    <xf numFmtId="166" fontId="0" fillId="0" borderId="0" xfId="1" applyNumberFormat="1" applyFont="1" applyAlignment="1">
      <alignment horizontal="center"/>
    </xf>
    <xf numFmtId="166" fontId="0" fillId="0" borderId="0" xfId="1" applyNumberFormat="1" applyFont="1" applyFill="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'I Trimestre'!$A$43</c:f>
              <c:strCache>
                <c:ptCount val="1"/>
                <c:pt idx="0">
                  <c:v>Cobertura Programada</c:v>
                </c:pt>
              </c:strCache>
            </c:strRef>
          </c:tx>
          <c:invertIfNegative val="0"/>
          <c:cat>
            <c:strRef>
              <c:f>'I Trimestre'!$B$6:$G$6</c:f>
              <c:strCache>
                <c:ptCount val="6"/>
                <c:pt idx="0">
                  <c:v>Total</c:v>
                </c:pt>
                <c:pt idx="1">
                  <c:v>Intramuros</c:v>
                </c:pt>
                <c:pt idx="2">
                  <c:v>Extramuros</c:v>
                </c:pt>
                <c:pt idx="3">
                  <c:v>1600</c:v>
                </c:pt>
                <c:pt idx="4">
                  <c:v>700 y 800</c:v>
                </c:pt>
                <c:pt idx="5">
                  <c:v>DAF</c:v>
                </c:pt>
              </c:strCache>
            </c:strRef>
          </c:cat>
          <c:val>
            <c:numRef>
              <c:f>Anual!$B$43:$G$43</c:f>
              <c:numCache>
                <c:formatCode>#,##0.0____</c:formatCode>
                <c:ptCount val="6"/>
                <c:pt idx="0">
                  <c:v>545.69340880640073</c:v>
                </c:pt>
                <c:pt idx="1">
                  <c:v>0</c:v>
                </c:pt>
                <c:pt idx="2">
                  <c:v>0</c:v>
                </c:pt>
                <c:pt idx="3">
                  <c:v>0</c:v>
                </c:pt>
                <c:pt idx="4">
                  <c:v>0</c:v>
                </c:pt>
                <c:pt idx="5">
                  <c:v>0</c:v>
                </c:pt>
              </c:numCache>
            </c:numRef>
          </c:val>
        </c:ser>
        <c:ser>
          <c:idx val="1"/>
          <c:order val="1"/>
          <c:tx>
            <c:strRef>
              <c:f>'I Trimestre'!$A$44</c:f>
              <c:strCache>
                <c:ptCount val="1"/>
                <c:pt idx="0">
                  <c:v>Cobertura Efectiva</c:v>
                </c:pt>
              </c:strCache>
            </c:strRef>
          </c:tx>
          <c:invertIfNegative val="0"/>
          <c:cat>
            <c:strRef>
              <c:f>'I Trimestre'!$B$6:$G$6</c:f>
              <c:strCache>
                <c:ptCount val="6"/>
                <c:pt idx="0">
                  <c:v>Total</c:v>
                </c:pt>
                <c:pt idx="1">
                  <c:v>Intramuros</c:v>
                </c:pt>
                <c:pt idx="2">
                  <c:v>Extramuros</c:v>
                </c:pt>
                <c:pt idx="3">
                  <c:v>1600</c:v>
                </c:pt>
                <c:pt idx="4">
                  <c:v>700 y 800</c:v>
                </c:pt>
                <c:pt idx="5">
                  <c:v>DAF</c:v>
                </c:pt>
              </c:strCache>
            </c:strRef>
          </c:cat>
          <c:val>
            <c:numRef>
              <c:f>Anual!$B$44:$G$44</c:f>
              <c:numCache>
                <c:formatCode>#,##0.0____</c:formatCode>
                <c:ptCount val="6"/>
                <c:pt idx="0">
                  <c:v>461.06412942905354</c:v>
                </c:pt>
                <c:pt idx="1">
                  <c:v>0</c:v>
                </c:pt>
                <c:pt idx="2">
                  <c:v>0</c:v>
                </c:pt>
                <c:pt idx="3">
                  <c:v>0</c:v>
                </c:pt>
                <c:pt idx="4">
                  <c:v>0</c:v>
                </c:pt>
                <c:pt idx="5">
                  <c:v>0</c:v>
                </c:pt>
              </c:numCache>
            </c:numRef>
          </c:val>
        </c:ser>
        <c:dLbls>
          <c:showLegendKey val="0"/>
          <c:showVal val="0"/>
          <c:showCatName val="0"/>
          <c:showSerName val="0"/>
          <c:showPercent val="0"/>
          <c:showBubbleSize val="0"/>
        </c:dLbls>
        <c:gapWidth val="150"/>
        <c:axId val="290800216"/>
        <c:axId val="291082536"/>
      </c:barChart>
      <c:catAx>
        <c:axId val="290800216"/>
        <c:scaling>
          <c:orientation val="minMax"/>
        </c:scaling>
        <c:delete val="0"/>
        <c:axPos val="b"/>
        <c:numFmt formatCode="General" sourceLinked="1"/>
        <c:majorTickMark val="out"/>
        <c:minorTickMark val="none"/>
        <c:tickLblPos val="nextTo"/>
        <c:crossAx val="291082536"/>
        <c:crosses val="autoZero"/>
        <c:auto val="1"/>
        <c:lblAlgn val="ctr"/>
        <c:lblOffset val="100"/>
        <c:noMultiLvlLbl val="0"/>
      </c:catAx>
      <c:valAx>
        <c:axId val="291082536"/>
        <c:scaling>
          <c:orientation val="minMax"/>
        </c:scaling>
        <c:delete val="0"/>
        <c:axPos val="l"/>
        <c:majorGridlines/>
        <c:numFmt formatCode="#,##0.0____" sourceLinked="1"/>
        <c:majorTickMark val="out"/>
        <c:minorTickMark val="none"/>
        <c:tickLblPos val="nextTo"/>
        <c:crossAx val="290800216"/>
        <c:crosses val="autoZero"/>
        <c:crossBetween val="between"/>
      </c:valAx>
    </c:plotArea>
    <c:legend>
      <c:legendPos val="t"/>
      <c:layout/>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Anual!$A$47</c:f>
              <c:strCache>
                <c:ptCount val="1"/>
                <c:pt idx="0">
                  <c:v>Índice efectividad en beneficiarios (IEB)</c:v>
                </c:pt>
              </c:strCache>
            </c:strRef>
          </c:tx>
          <c:invertIfNegative val="0"/>
          <c:cat>
            <c:numRef>
              <c:f>Anual!$K$24:$K$27</c:f>
              <c:numCache>
                <c:formatCode>General</c:formatCode>
                <c:ptCount val="4"/>
              </c:numCache>
            </c:numRef>
          </c:cat>
          <c:val>
            <c:numRef>
              <c:f>(Anual!$B$47:$C$47,Anual!$E$47,Anual!$G$47)</c:f>
              <c:numCache>
                <c:formatCode>#,##0.0____</c:formatCode>
                <c:ptCount val="4"/>
                <c:pt idx="0">
                  <c:v>95.858744209247575</c:v>
                </c:pt>
                <c:pt idx="1">
                  <c:v>96.982898701626524</c:v>
                </c:pt>
                <c:pt idx="2">
                  <c:v>95.482536932119658</c:v>
                </c:pt>
                <c:pt idx="3">
                  <c:v>73.297628423908293</c:v>
                </c:pt>
              </c:numCache>
            </c:numRef>
          </c:val>
        </c:ser>
        <c:ser>
          <c:idx val="1"/>
          <c:order val="1"/>
          <c:tx>
            <c:strRef>
              <c:f>Anual!$A$48</c:f>
              <c:strCache>
                <c:ptCount val="1"/>
                <c:pt idx="0">
                  <c:v>Índice efectividad en gasto (IEG) </c:v>
                </c:pt>
              </c:strCache>
            </c:strRef>
          </c:tx>
          <c:invertIfNegative val="0"/>
          <c:cat>
            <c:numRef>
              <c:f>Anual!$K$24:$K$27</c:f>
              <c:numCache>
                <c:formatCode>General</c:formatCode>
                <c:ptCount val="4"/>
              </c:numCache>
            </c:numRef>
          </c:cat>
          <c:val>
            <c:numRef>
              <c:f>(Anual!$B$48:$C$48,Anual!$E$48,Anual!$G$48)</c:f>
              <c:numCache>
                <c:formatCode>#,##0.0____</c:formatCode>
                <c:ptCount val="4"/>
                <c:pt idx="0">
                  <c:v>96.297368868932807</c:v>
                </c:pt>
                <c:pt idx="1">
                  <c:v>71.316859057036524</c:v>
                </c:pt>
                <c:pt idx="2">
                  <c:v>97.775133046368069</c:v>
                </c:pt>
                <c:pt idx="3">
                  <c:v>87.017784823092541</c:v>
                </c:pt>
              </c:numCache>
            </c:numRef>
          </c:val>
        </c:ser>
        <c:ser>
          <c:idx val="2"/>
          <c:order val="2"/>
          <c:tx>
            <c:strRef>
              <c:f>Anual!$A$49</c:f>
              <c:strCache>
                <c:ptCount val="1"/>
                <c:pt idx="0">
                  <c:v>Índice efectividad total (IET)</c:v>
                </c:pt>
              </c:strCache>
            </c:strRef>
          </c:tx>
          <c:invertIfNegative val="0"/>
          <c:cat>
            <c:numRef>
              <c:f>Anual!$K$24:$K$27</c:f>
              <c:numCache>
                <c:formatCode>General</c:formatCode>
                <c:ptCount val="4"/>
              </c:numCache>
            </c:numRef>
          </c:cat>
          <c:val>
            <c:numRef>
              <c:f>(Anual!$B$49:$C$49,Anual!$E$49,Anual!$G$49)</c:f>
              <c:numCache>
                <c:formatCode>#,##0.0____</c:formatCode>
                <c:ptCount val="4"/>
                <c:pt idx="0">
                  <c:v>96.078056539090198</c:v>
                </c:pt>
                <c:pt idx="1">
                  <c:v>84.149878879331524</c:v>
                </c:pt>
                <c:pt idx="2">
                  <c:v>96.62883498924387</c:v>
                </c:pt>
                <c:pt idx="3">
                  <c:v>80.157706623500417</c:v>
                </c:pt>
              </c:numCache>
            </c:numRef>
          </c:val>
        </c:ser>
        <c:dLbls>
          <c:showLegendKey val="0"/>
          <c:showVal val="0"/>
          <c:showCatName val="0"/>
          <c:showSerName val="0"/>
          <c:showPercent val="0"/>
          <c:showBubbleSize val="0"/>
        </c:dLbls>
        <c:gapWidth val="150"/>
        <c:axId val="291360872"/>
        <c:axId val="290506248"/>
      </c:barChart>
      <c:catAx>
        <c:axId val="291360872"/>
        <c:scaling>
          <c:orientation val="minMax"/>
        </c:scaling>
        <c:delete val="0"/>
        <c:axPos val="b"/>
        <c:numFmt formatCode="General" sourceLinked="1"/>
        <c:majorTickMark val="out"/>
        <c:minorTickMark val="none"/>
        <c:tickLblPos val="nextTo"/>
        <c:crossAx val="290506248"/>
        <c:crosses val="autoZero"/>
        <c:auto val="1"/>
        <c:lblAlgn val="ctr"/>
        <c:lblOffset val="100"/>
        <c:noMultiLvlLbl val="0"/>
      </c:catAx>
      <c:valAx>
        <c:axId val="290506248"/>
        <c:scaling>
          <c:orientation val="minMax"/>
        </c:scaling>
        <c:delete val="0"/>
        <c:axPos val="l"/>
        <c:majorGridlines/>
        <c:numFmt formatCode="#,##0.0____" sourceLinked="1"/>
        <c:majorTickMark val="out"/>
        <c:minorTickMark val="none"/>
        <c:tickLblPos val="nextTo"/>
        <c:crossAx val="291360872"/>
        <c:crosses val="autoZero"/>
        <c:crossBetween val="between"/>
      </c:valAx>
    </c:plotArea>
    <c:legend>
      <c:legendPos val="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Anual!$A$52</c:f>
              <c:strCache>
                <c:ptCount val="1"/>
                <c:pt idx="0">
                  <c:v>Índice avance beneficiarios (IAB) </c:v>
                </c:pt>
              </c:strCache>
            </c:strRef>
          </c:tx>
          <c:invertIfNegative val="0"/>
          <c:cat>
            <c:numRef>
              <c:f>Anual!$K$24:$K$27</c:f>
              <c:numCache>
                <c:formatCode>General</c:formatCode>
                <c:ptCount val="4"/>
              </c:numCache>
            </c:numRef>
          </c:cat>
          <c:val>
            <c:numRef>
              <c:f>(Anual!$B$52:$C$52,Anual!$E$52,Anual!$G$52)</c:f>
              <c:numCache>
                <c:formatCode>#,##0.0____</c:formatCode>
                <c:ptCount val="4"/>
                <c:pt idx="0">
                  <c:v>307.71606349206354</c:v>
                </c:pt>
                <c:pt idx="1">
                  <c:v>296.52702886220754</c:v>
                </c:pt>
                <c:pt idx="2">
                  <c:v>292.86885940883354</c:v>
                </c:pt>
                <c:pt idx="3">
                  <c:v>238.21729237770194</c:v>
                </c:pt>
              </c:numCache>
            </c:numRef>
          </c:val>
        </c:ser>
        <c:ser>
          <c:idx val="1"/>
          <c:order val="1"/>
          <c:tx>
            <c:strRef>
              <c:f>Anual!$A$53</c:f>
              <c:strCache>
                <c:ptCount val="1"/>
                <c:pt idx="0">
                  <c:v>Índice avance gasto (IAG)</c:v>
                </c:pt>
              </c:strCache>
            </c:strRef>
          </c:tx>
          <c:invertIfNegative val="0"/>
          <c:cat>
            <c:numRef>
              <c:f>Anual!$K$24:$K$27</c:f>
              <c:numCache>
                <c:formatCode>General</c:formatCode>
                <c:ptCount val="4"/>
              </c:numCache>
            </c:numRef>
          </c:cat>
          <c:val>
            <c:numRef>
              <c:f>(Anual!$B$53:$C$53,Anual!$E$53,Anual!$G$53)</c:f>
              <c:numCache>
                <c:formatCode>#,##0.0____</c:formatCode>
                <c:ptCount val="4"/>
                <c:pt idx="0">
                  <c:v>79.604040703444923</c:v>
                </c:pt>
                <c:pt idx="1">
                  <c:v>0</c:v>
                </c:pt>
                <c:pt idx="2">
                  <c:v>97.775133046368083</c:v>
                </c:pt>
                <c:pt idx="3">
                  <c:v>62.766544052244079</c:v>
                </c:pt>
              </c:numCache>
            </c:numRef>
          </c:val>
        </c:ser>
        <c:ser>
          <c:idx val="2"/>
          <c:order val="2"/>
          <c:tx>
            <c:strRef>
              <c:f>Anual!$A$54</c:f>
              <c:strCache>
                <c:ptCount val="1"/>
                <c:pt idx="0">
                  <c:v>Índice avance total (IAT) </c:v>
                </c:pt>
              </c:strCache>
            </c:strRef>
          </c:tx>
          <c:invertIfNegative val="0"/>
          <c:cat>
            <c:numRef>
              <c:f>Anual!$K$24:$K$27</c:f>
              <c:numCache>
                <c:formatCode>General</c:formatCode>
                <c:ptCount val="4"/>
              </c:numCache>
            </c:numRef>
          </c:cat>
          <c:val>
            <c:numRef>
              <c:f>Anual!$B$54:$C$54</c:f>
              <c:numCache>
                <c:formatCode>#,##0.0____</c:formatCode>
                <c:ptCount val="2"/>
                <c:pt idx="0">
                  <c:v>193.66005209775423</c:v>
                </c:pt>
                <c:pt idx="1">
                  <c:v>0</c:v>
                </c:pt>
              </c:numCache>
            </c:numRef>
          </c:val>
        </c:ser>
        <c:dLbls>
          <c:showLegendKey val="0"/>
          <c:showVal val="0"/>
          <c:showCatName val="0"/>
          <c:showSerName val="0"/>
          <c:showPercent val="0"/>
          <c:showBubbleSize val="0"/>
        </c:dLbls>
        <c:gapWidth val="150"/>
        <c:axId val="291192784"/>
        <c:axId val="291896488"/>
      </c:barChart>
      <c:catAx>
        <c:axId val="291192784"/>
        <c:scaling>
          <c:orientation val="minMax"/>
        </c:scaling>
        <c:delete val="0"/>
        <c:axPos val="b"/>
        <c:numFmt formatCode="General" sourceLinked="1"/>
        <c:majorTickMark val="out"/>
        <c:minorTickMark val="none"/>
        <c:tickLblPos val="nextTo"/>
        <c:crossAx val="291896488"/>
        <c:crosses val="autoZero"/>
        <c:auto val="1"/>
        <c:lblAlgn val="ctr"/>
        <c:lblOffset val="100"/>
        <c:noMultiLvlLbl val="0"/>
      </c:catAx>
      <c:valAx>
        <c:axId val="291896488"/>
        <c:scaling>
          <c:orientation val="minMax"/>
        </c:scaling>
        <c:delete val="0"/>
        <c:axPos val="l"/>
        <c:majorGridlines/>
        <c:numFmt formatCode="#,##0.0____" sourceLinked="1"/>
        <c:majorTickMark val="out"/>
        <c:minorTickMark val="none"/>
        <c:tickLblPos val="nextTo"/>
        <c:crossAx val="291192784"/>
        <c:crosses val="autoZero"/>
        <c:crossBetween val="between"/>
      </c:valAx>
    </c:plotArea>
    <c:legend>
      <c:legendPos val="t"/>
      <c:layout/>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0</xdr:colOff>
      <xdr:row>2</xdr:row>
      <xdr:rowOff>0</xdr:rowOff>
    </xdr:from>
    <xdr:to>
      <xdr:col>18</xdr:col>
      <xdr:colOff>0</xdr:colOff>
      <xdr:row>16</xdr:row>
      <xdr:rowOff>50800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38100</xdr:colOff>
      <xdr:row>18</xdr:row>
      <xdr:rowOff>25400</xdr:rowOff>
    </xdr:from>
    <xdr:to>
      <xdr:col>18</xdr:col>
      <xdr:colOff>38100</xdr:colOff>
      <xdr:row>32</xdr:row>
      <xdr:rowOff>101600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34</xdr:row>
      <xdr:rowOff>0</xdr:rowOff>
    </xdr:from>
    <xdr:to>
      <xdr:col>18</xdr:col>
      <xdr:colOff>0</xdr:colOff>
      <xdr:row>48</xdr:row>
      <xdr:rowOff>76200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304800</xdr:colOff>
      <xdr:row>42</xdr:row>
      <xdr:rowOff>180975</xdr:rowOff>
    </xdr:to>
    <xdr:sp macro="" textlink="">
      <xdr:nvSpPr>
        <xdr:cNvPr id="2" name="1 CuadroTexto"/>
        <xdr:cNvSpPr txBox="1"/>
      </xdr:nvSpPr>
      <xdr:spPr>
        <a:xfrm>
          <a:off x="0" y="0"/>
          <a:ext cx="7924800" cy="8181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100" u="sng">
              <a:solidFill>
                <a:sysClr val="windowText" lastClr="000000"/>
              </a:solidFill>
            </a:rPr>
            <a:t>Observaciones</a:t>
          </a:r>
        </a:p>
        <a:p>
          <a:endParaRPr lang="es-CR" sz="1100">
            <a:solidFill>
              <a:sysClr val="windowText" lastClr="000000"/>
            </a:solidFill>
          </a:endParaRPr>
        </a:p>
        <a:p>
          <a:pPr marL="0" marR="0" indent="0" defTabSz="914400" eaLnBrk="1" fontAlgn="auto" latinLnBrk="0" hangingPunct="1">
            <a:lnSpc>
              <a:spcPct val="200000"/>
            </a:lnSpc>
            <a:spcBef>
              <a:spcPts val="0"/>
            </a:spcBef>
            <a:spcAft>
              <a:spcPts val="1000"/>
            </a:spcAft>
            <a:buClrTx/>
            <a:buSzTx/>
            <a:buFontTx/>
            <a:buNone/>
            <a:tabLst/>
            <a:defRPr/>
          </a:pPr>
          <a:r>
            <a:rPr lang="es-CR" sz="1100">
              <a:solidFill>
                <a:sysClr val="windowText" lastClr="000000"/>
              </a:solidFill>
              <a:effectLst/>
              <a:latin typeface="+mn-lt"/>
              <a:ea typeface="+mn-ea"/>
              <a:cs typeface="+mn-cs"/>
            </a:rPr>
            <a:t>La información es proporcionada por las unidades ejecutoras de cada programa. </a:t>
          </a:r>
        </a:p>
        <a:p>
          <a:pPr marL="0" marR="0" indent="0" defTabSz="914400" eaLnBrk="1" fontAlgn="auto" latinLnBrk="0" hangingPunct="1">
            <a:lnSpc>
              <a:spcPct val="200000"/>
            </a:lnSpc>
            <a:spcBef>
              <a:spcPts val="0"/>
            </a:spcBef>
            <a:spcAft>
              <a:spcPts val="1000"/>
            </a:spcAft>
            <a:buClrTx/>
            <a:buSzTx/>
            <a:buFontTx/>
            <a:buNone/>
            <a:tabLst/>
            <a:defRPr/>
          </a:pPr>
          <a:r>
            <a:rPr lang="es-CR" sz="1100">
              <a:solidFill>
                <a:sysClr val="windowText" lastClr="000000"/>
              </a:solidFill>
              <a:effectLst/>
              <a:latin typeface="+mn-lt"/>
              <a:ea typeface="Calibri"/>
              <a:cs typeface="Times New Roman"/>
            </a:rPr>
            <a:t>Se deben tomar en cuenta las particularidades de cada programa .</a:t>
          </a:r>
        </a:p>
        <a:p>
          <a:pPr>
            <a:lnSpc>
              <a:spcPct val="200000"/>
            </a:lnSpc>
            <a:spcAft>
              <a:spcPts val="1000"/>
            </a:spcAft>
          </a:pPr>
          <a:r>
            <a:rPr lang="es-CR" sz="1100">
              <a:solidFill>
                <a:sysClr val="windowText" lastClr="000000"/>
              </a:solidFill>
              <a:effectLst/>
              <a:latin typeface="+mn-lt"/>
              <a:ea typeface="Calibri"/>
              <a:cs typeface="Times New Roman"/>
            </a:rPr>
            <a:t>En el caso particular de</a:t>
          </a:r>
          <a:r>
            <a:rPr lang="es-CR" sz="1100" baseline="0">
              <a:solidFill>
                <a:sysClr val="windowText" lastClr="000000"/>
              </a:solidFill>
              <a:effectLst/>
              <a:latin typeface="+mn-lt"/>
              <a:ea typeface="Calibri"/>
              <a:cs typeface="Times New Roman"/>
            </a:rPr>
            <a:t> CEN-CINAI</a:t>
          </a:r>
          <a:r>
            <a:rPr lang="es-CR" sz="1100">
              <a:solidFill>
                <a:sysClr val="windowText" lastClr="000000"/>
              </a:solidFill>
              <a:effectLst/>
              <a:latin typeface="+mn-lt"/>
              <a:ea typeface="Calibri"/>
              <a:cs typeface="Times New Roman"/>
            </a:rPr>
            <a:t>:</a:t>
          </a:r>
        </a:p>
        <a:p>
          <a:pPr>
            <a:lnSpc>
              <a:spcPct val="200000"/>
            </a:lnSpc>
            <a:spcAft>
              <a:spcPts val="1000"/>
            </a:spcAft>
          </a:pPr>
          <a:r>
            <a:rPr lang="es-CR" sz="1100">
              <a:solidFill>
                <a:sysClr val="windowText" lastClr="000000"/>
              </a:solidFill>
              <a:effectLst/>
              <a:latin typeface="+mn-lt"/>
              <a:ea typeface="Calibri"/>
              <a:cs typeface="Times New Roman"/>
            </a:rPr>
            <a:t>Los</a:t>
          </a:r>
          <a:r>
            <a:rPr lang="es-CR" sz="1100" baseline="0">
              <a:solidFill>
                <a:sysClr val="windowText" lastClr="000000"/>
              </a:solidFill>
              <a:effectLst/>
              <a:latin typeface="+mn-lt"/>
              <a:ea typeface="Calibri"/>
              <a:cs typeface="Times New Roman"/>
            </a:rPr>
            <a:t> giros de dinero por parte de Desaf no se hacen siempre con la programación preestablecida (en el caso de leche) sino que se toman en cuenta las existencias en inventario para sólo girar lo necesario. Siempre cubriendo el total de los beneficiarios, utilizando tanto las existencias como las nuevas compras.</a:t>
          </a:r>
        </a:p>
        <a:p>
          <a:pPr>
            <a:lnSpc>
              <a:spcPct val="200000"/>
            </a:lnSpc>
            <a:spcAft>
              <a:spcPts val="1000"/>
            </a:spcAft>
          </a:pPr>
          <a:r>
            <a:rPr lang="es-CR" sz="1100" baseline="0">
              <a:solidFill>
                <a:sysClr val="windowText" lastClr="000000"/>
              </a:solidFill>
              <a:effectLst/>
              <a:latin typeface="+mn-lt"/>
              <a:ea typeface="Calibri"/>
              <a:cs typeface="Times New Roman"/>
            </a:rPr>
            <a:t>Los giros de dinero también están sujetos a los cambios en precios de  mercado de la leche, por lo que el monto cobrado por factura puede diferir del presupuestado. Este cambio en precios puede provocar variaciones en el costo promedio por beneficiario entre períodos.</a:t>
          </a:r>
        </a:p>
        <a:p>
          <a:pPr>
            <a:lnSpc>
              <a:spcPct val="200000"/>
            </a:lnSpc>
            <a:spcAft>
              <a:spcPts val="1000"/>
            </a:spcAft>
          </a:pPr>
          <a:r>
            <a:rPr lang="es-CR" sz="1100" baseline="0">
              <a:solidFill>
                <a:sysClr val="windowText" lastClr="000000"/>
              </a:solidFill>
              <a:effectLst/>
              <a:latin typeface="+mn-lt"/>
              <a:ea typeface="Calibri"/>
              <a:cs typeface="Times New Roman"/>
            </a:rPr>
            <a:t>En enero se pueden estar utilizando saldos de leche del año anterior, por lo que puede haber cobertura sin gasto de dinero del año en ejecución.</a:t>
          </a:r>
        </a:p>
        <a:p>
          <a:pPr>
            <a:lnSpc>
              <a:spcPct val="200000"/>
            </a:lnSpc>
            <a:spcAft>
              <a:spcPts val="1000"/>
            </a:spcAft>
          </a:pPr>
          <a:r>
            <a:rPr lang="es-CR" sz="1100" baseline="0">
              <a:solidFill>
                <a:sysClr val="windowText" lastClr="000000"/>
              </a:solidFill>
              <a:effectLst/>
              <a:latin typeface="+mn-lt"/>
              <a:ea typeface="Calibri"/>
              <a:cs typeface="Times New Roman"/>
            </a:rPr>
            <a:t>Los mismos beneficiarios pueden recibir varios productos (por ejemplo leche y comida) y las mismas personas pueden ser atendidas durante todo el año.</a:t>
          </a:r>
        </a:p>
        <a:p>
          <a:pPr>
            <a:lnSpc>
              <a:spcPct val="200000"/>
            </a:lnSpc>
            <a:spcAft>
              <a:spcPts val="1000"/>
            </a:spcAft>
          </a:pPr>
          <a:endParaRPr lang="es-CR" sz="1100" baseline="0">
            <a:solidFill>
              <a:sysClr val="windowText" lastClr="000000"/>
            </a:solidFill>
            <a:effectLst/>
            <a:latin typeface="+mn-lt"/>
            <a:ea typeface="Calibri"/>
            <a:cs typeface="Times New Roman"/>
          </a:endParaRPr>
        </a:p>
        <a:p>
          <a:pPr>
            <a:lnSpc>
              <a:spcPct val="200000"/>
            </a:lnSpc>
            <a:spcAft>
              <a:spcPts val="1000"/>
            </a:spcAft>
          </a:pPr>
          <a:r>
            <a:rPr lang="es-CR" sz="1100">
              <a:solidFill>
                <a:sysClr val="windowText" lastClr="000000"/>
              </a:solidFill>
              <a:effectLst/>
              <a:latin typeface="+mn-lt"/>
              <a:ea typeface="Calibri"/>
              <a:cs typeface="Times New Roman"/>
            </a:rPr>
            <a:t>Se recomienda observar la fórmula utilizada en Excel cuando existan dudas sobre algún resultado obtenido.</a:t>
          </a:r>
        </a:p>
        <a:p>
          <a:pPr>
            <a:lnSpc>
              <a:spcPct val="200000"/>
            </a:lnSpc>
            <a:spcAft>
              <a:spcPts val="1000"/>
            </a:spcAft>
          </a:pPr>
          <a:endParaRPr lang="es-CR" sz="1100">
            <a:solidFill>
              <a:srgbClr val="1F497D"/>
            </a:solidFill>
            <a:effectLst/>
            <a:latin typeface="+mn-lt"/>
            <a:ea typeface="Calibri"/>
            <a:cs typeface="Times New Roman"/>
          </a:endParaRPr>
        </a:p>
        <a:p>
          <a:pPr>
            <a:lnSpc>
              <a:spcPct val="200000"/>
            </a:lnSpc>
            <a:spcAft>
              <a:spcPts val="1000"/>
            </a:spcAft>
          </a:pPr>
          <a:endParaRPr lang="es-CR" sz="1100">
            <a:solidFill>
              <a:srgbClr val="1F497D"/>
            </a:solidFill>
            <a:effectLst/>
            <a:latin typeface="+mn-lt"/>
            <a:ea typeface="Calibri"/>
            <a:cs typeface="Times New Roman"/>
          </a:endParaRPr>
        </a:p>
        <a:p>
          <a:endParaRPr lang="es-CR" sz="1100"/>
        </a:p>
        <a:p>
          <a:endParaRPr lang="es-CR" sz="1100"/>
        </a:p>
        <a:p>
          <a:endParaRPr lang="es-CR" sz="1100"/>
        </a:p>
        <a:p>
          <a:endParaRPr lang="es-CR"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topLeftCell="B1" zoomScale="90" zoomScaleNormal="90" workbookViewId="0">
      <selection activeCell="C21" sqref="C21:D21"/>
    </sheetView>
  </sheetViews>
  <sheetFormatPr baseColWidth="10" defaultColWidth="11.42578125" defaultRowHeight="15" x14ac:dyDescent="0.25"/>
  <cols>
    <col min="1" max="1" width="55.140625" customWidth="1"/>
    <col min="2" max="2" width="16.140625" customWidth="1"/>
    <col min="3" max="4" width="15.5703125" customWidth="1"/>
    <col min="5" max="6" width="14.5703125" customWidth="1"/>
    <col min="7" max="7" width="14.42578125" bestFit="1" customWidth="1"/>
    <col min="8" max="9" width="14.42578125" customWidth="1"/>
    <col min="10" max="10" width="15.140625" bestFit="1" customWidth="1"/>
    <col min="11" max="11" width="23.7109375" bestFit="1" customWidth="1"/>
  </cols>
  <sheetData>
    <row r="1" spans="1:10" x14ac:dyDescent="0.25">
      <c r="F1" s="24"/>
    </row>
    <row r="2" spans="1:10" ht="15.75" x14ac:dyDescent="0.25">
      <c r="A2" s="47" t="s">
        <v>82</v>
      </c>
      <c r="B2" s="47"/>
      <c r="C2" s="47"/>
      <c r="D2" s="47"/>
      <c r="E2" s="47"/>
      <c r="F2" s="47"/>
      <c r="G2" s="47"/>
    </row>
    <row r="4" spans="1:10" x14ac:dyDescent="0.25">
      <c r="A4" s="45" t="s">
        <v>0</v>
      </c>
      <c r="B4" s="14" t="s">
        <v>1</v>
      </c>
      <c r="C4" s="49" t="s">
        <v>2</v>
      </c>
      <c r="D4" s="49"/>
      <c r="E4" s="49"/>
      <c r="F4" s="49"/>
      <c r="G4" s="49"/>
      <c r="H4" s="49"/>
      <c r="I4" s="45" t="s">
        <v>130</v>
      </c>
      <c r="J4" s="45" t="s">
        <v>77</v>
      </c>
    </row>
    <row r="5" spans="1:10" ht="15.75" thickBot="1" x14ac:dyDescent="0.3">
      <c r="A5" s="46"/>
      <c r="B5" s="1" t="s">
        <v>3</v>
      </c>
      <c r="C5" s="48" t="s">
        <v>4</v>
      </c>
      <c r="D5" s="48"/>
      <c r="E5" s="48" t="s">
        <v>79</v>
      </c>
      <c r="F5" s="48"/>
      <c r="G5" s="1" t="s">
        <v>5</v>
      </c>
      <c r="H5" s="10" t="s">
        <v>78</v>
      </c>
      <c r="I5" s="46"/>
      <c r="J5" s="46"/>
    </row>
    <row r="6" spans="1:10" ht="15.75" thickTop="1" x14ac:dyDescent="0.25">
      <c r="B6" t="s">
        <v>1</v>
      </c>
      <c r="C6" s="22" t="s">
        <v>72</v>
      </c>
      <c r="D6" s="22" t="s">
        <v>73</v>
      </c>
      <c r="E6" s="22">
        <v>1600</v>
      </c>
      <c r="F6" s="22" t="s">
        <v>74</v>
      </c>
      <c r="G6" s="22" t="s">
        <v>5</v>
      </c>
    </row>
    <row r="7" spans="1:10" x14ac:dyDescent="0.25">
      <c r="A7" s="2" t="s">
        <v>6</v>
      </c>
    </row>
    <row r="8" spans="1:10" x14ac:dyDescent="0.25">
      <c r="A8" s="19"/>
      <c r="B8" s="19"/>
      <c r="C8" s="19"/>
      <c r="D8" s="19"/>
      <c r="E8" s="19"/>
      <c r="F8" s="19"/>
      <c r="G8" s="19"/>
      <c r="H8" s="19"/>
      <c r="I8" s="19"/>
      <c r="J8" s="19"/>
    </row>
    <row r="9" spans="1:10" x14ac:dyDescent="0.25">
      <c r="A9" s="19" t="s">
        <v>7</v>
      </c>
      <c r="B9" s="19"/>
      <c r="C9" s="19"/>
      <c r="D9" s="19"/>
      <c r="E9" s="19"/>
      <c r="F9" s="19"/>
      <c r="G9" s="19"/>
      <c r="H9" s="19"/>
      <c r="I9" s="19"/>
      <c r="J9" s="19"/>
    </row>
    <row r="10" spans="1:10" x14ac:dyDescent="0.25">
      <c r="A10" s="30" t="s">
        <v>8</v>
      </c>
      <c r="B10" s="5">
        <f>+C10+E10</f>
        <v>100811.33333333333</v>
      </c>
      <c r="C10" s="5">
        <v>23212.333333333332</v>
      </c>
      <c r="D10" s="5">
        <v>3336.3333333333335</v>
      </c>
      <c r="E10" s="5">
        <v>77599</v>
      </c>
      <c r="F10" s="5">
        <v>37422</v>
      </c>
      <c r="G10" s="5">
        <v>2204.6666666666665</v>
      </c>
      <c r="H10" s="5"/>
      <c r="I10" s="5" t="s">
        <v>129</v>
      </c>
      <c r="J10" s="19" t="s">
        <v>129</v>
      </c>
    </row>
    <row r="11" spans="1:10" x14ac:dyDescent="0.25">
      <c r="A11" s="44" t="s">
        <v>61</v>
      </c>
      <c r="B11" s="5">
        <f t="shared" ref="B11:B15" si="0">+C11+E11</f>
        <v>86308.666666666657</v>
      </c>
      <c r="C11" s="5">
        <v>19594.333333333332</v>
      </c>
      <c r="D11" s="5">
        <v>3336.3333333333335</v>
      </c>
      <c r="E11" s="5">
        <v>66714.333333333328</v>
      </c>
      <c r="F11" s="5">
        <v>37422</v>
      </c>
      <c r="G11" s="5">
        <v>2204.6666666666665</v>
      </c>
      <c r="H11" s="5"/>
      <c r="I11" s="5" t="s">
        <v>129</v>
      </c>
      <c r="J11" s="19" t="s">
        <v>129</v>
      </c>
    </row>
    <row r="12" spans="1:10" x14ac:dyDescent="0.25">
      <c r="A12" s="30" t="s">
        <v>83</v>
      </c>
      <c r="B12" s="5">
        <f t="shared" si="0"/>
        <v>114219</v>
      </c>
      <c r="C12" s="5">
        <f>253+24389+3058+2485</f>
        <v>30185</v>
      </c>
      <c r="D12" s="5">
        <v>8525</v>
      </c>
      <c r="E12" s="5">
        <v>84034</v>
      </c>
      <c r="F12" s="5">
        <f>25863+24388</f>
        <v>50251</v>
      </c>
      <c r="G12" s="5">
        <v>7325</v>
      </c>
      <c r="H12" s="5"/>
      <c r="I12" s="5" t="s">
        <v>129</v>
      </c>
      <c r="J12" s="19" t="s">
        <v>129</v>
      </c>
    </row>
    <row r="13" spans="1:10" x14ac:dyDescent="0.25">
      <c r="A13" s="44" t="s">
        <v>61</v>
      </c>
      <c r="B13" s="5">
        <f t="shared" si="0"/>
        <v>108423</v>
      </c>
      <c r="C13" s="5">
        <v>24389</v>
      </c>
      <c r="D13" s="5">
        <v>8525</v>
      </c>
      <c r="E13" s="5">
        <v>84034</v>
      </c>
      <c r="F13" s="5">
        <v>50251</v>
      </c>
      <c r="G13" s="5">
        <v>7325</v>
      </c>
      <c r="H13" s="5"/>
      <c r="I13" s="5" t="s">
        <v>129</v>
      </c>
      <c r="J13" s="19" t="s">
        <v>129</v>
      </c>
    </row>
    <row r="14" spans="1:10" x14ac:dyDescent="0.25">
      <c r="A14" s="30" t="s">
        <v>84</v>
      </c>
      <c r="B14" s="5">
        <f t="shared" si="0"/>
        <v>110553.33333333333</v>
      </c>
      <c r="C14" s="5">
        <v>26559</v>
      </c>
      <c r="D14" s="5">
        <v>4669.333333333333</v>
      </c>
      <c r="E14" s="5">
        <v>83994.333333333328</v>
      </c>
      <c r="F14" s="5">
        <v>36987</v>
      </c>
      <c r="G14" s="5">
        <v>1114.3333333333333</v>
      </c>
      <c r="H14" s="5">
        <v>0</v>
      </c>
      <c r="I14" s="5" t="s">
        <v>129</v>
      </c>
      <c r="J14" s="19" t="s">
        <v>129</v>
      </c>
    </row>
    <row r="15" spans="1:10" x14ac:dyDescent="0.25">
      <c r="A15" s="44" t="s">
        <v>61</v>
      </c>
      <c r="B15" s="5">
        <f t="shared" si="0"/>
        <v>97217</v>
      </c>
      <c r="C15" s="5">
        <v>22098.666666666668</v>
      </c>
      <c r="D15" s="5">
        <v>4669.333333333333</v>
      </c>
      <c r="E15" s="5">
        <v>75118.333333333328</v>
      </c>
      <c r="F15" s="5">
        <v>36987</v>
      </c>
      <c r="G15" s="5">
        <v>1114.3333333333333</v>
      </c>
      <c r="H15" s="5">
        <v>0</v>
      </c>
      <c r="I15" s="5" t="s">
        <v>129</v>
      </c>
      <c r="J15" s="19" t="s">
        <v>129</v>
      </c>
    </row>
    <row r="16" spans="1:10" x14ac:dyDescent="0.25">
      <c r="A16" s="30" t="s">
        <v>85</v>
      </c>
      <c r="B16" s="5">
        <f>+C16+E16</f>
        <v>129841</v>
      </c>
      <c r="C16" s="5">
        <f>278+26827+3363+2734</f>
        <v>33202</v>
      </c>
      <c r="D16" s="5">
        <v>8525</v>
      </c>
      <c r="E16" s="5">
        <v>96639</v>
      </c>
      <c r="F16" s="5">
        <f>28449+26827</f>
        <v>55276</v>
      </c>
      <c r="G16" s="5">
        <v>7325</v>
      </c>
      <c r="H16" s="5"/>
      <c r="I16" s="5" t="s">
        <v>129</v>
      </c>
      <c r="J16" s="19" t="s">
        <v>132</v>
      </c>
    </row>
    <row r="17" spans="1:11" x14ac:dyDescent="0.25">
      <c r="A17" s="19"/>
      <c r="B17" s="19"/>
      <c r="C17" s="19"/>
      <c r="D17" s="19"/>
      <c r="E17" s="19"/>
      <c r="F17" s="19"/>
      <c r="G17" s="19"/>
      <c r="H17" s="19"/>
      <c r="I17" s="19"/>
      <c r="J17" s="19"/>
    </row>
    <row r="18" spans="1:11" x14ac:dyDescent="0.25">
      <c r="A18" s="29" t="s">
        <v>9</v>
      </c>
      <c r="B18" s="19"/>
      <c r="C18" s="19"/>
      <c r="D18" s="19"/>
      <c r="E18" s="19"/>
      <c r="F18" s="19"/>
      <c r="G18" s="19"/>
      <c r="H18" s="19"/>
      <c r="I18" s="19"/>
      <c r="J18" s="19"/>
      <c r="K18" s="28"/>
    </row>
    <row r="19" spans="1:11" x14ac:dyDescent="0.25">
      <c r="A19" s="30" t="s">
        <v>8</v>
      </c>
      <c r="B19" s="5">
        <f>SUM(C19:J19)</f>
        <v>2041223507</v>
      </c>
      <c r="C19" s="50">
        <v>893818247</v>
      </c>
      <c r="D19" s="50"/>
      <c r="E19" s="50">
        <v>1147405260</v>
      </c>
      <c r="F19" s="50"/>
      <c r="G19" s="5">
        <v>0</v>
      </c>
      <c r="H19" s="5">
        <v>0</v>
      </c>
      <c r="I19" s="5" t="s">
        <v>129</v>
      </c>
      <c r="J19" s="19">
        <v>0</v>
      </c>
    </row>
    <row r="20" spans="1:11" x14ac:dyDescent="0.25">
      <c r="A20" s="30" t="s">
        <v>83</v>
      </c>
      <c r="B20" s="5">
        <f t="shared" ref="B20:B23" si="1">SUM(C20:J20)</f>
        <v>3301395586</v>
      </c>
      <c r="C20" s="43">
        <v>1230362300</v>
      </c>
      <c r="D20" s="43">
        <v>16112250</v>
      </c>
      <c r="E20" s="50">
        <f>436478944+505086576+627708016</f>
        <v>1569273536</v>
      </c>
      <c r="F20" s="50"/>
      <c r="G20" s="5">
        <f>161882500*3</f>
        <v>485647500</v>
      </c>
      <c r="H20" s="5">
        <v>0</v>
      </c>
      <c r="I20" s="5">
        <v>0</v>
      </c>
      <c r="J20" s="19"/>
      <c r="K20" s="7"/>
    </row>
    <row r="21" spans="1:11" x14ac:dyDescent="0.25">
      <c r="A21" s="30" t="s">
        <v>84</v>
      </c>
      <c r="B21" s="5">
        <f t="shared" si="1"/>
        <v>2322227099.9099998</v>
      </c>
      <c r="C21" s="50">
        <v>1050390318.9999999</v>
      </c>
      <c r="D21" s="50"/>
      <c r="E21" s="50">
        <v>983832148</v>
      </c>
      <c r="F21" s="50"/>
      <c r="G21" s="5">
        <v>0</v>
      </c>
      <c r="H21" s="5">
        <v>0</v>
      </c>
      <c r="I21" s="5">
        <v>0</v>
      </c>
      <c r="J21" s="5">
        <v>288004632.90999997</v>
      </c>
    </row>
    <row r="22" spans="1:11" x14ac:dyDescent="0.25">
      <c r="A22" s="30" t="s">
        <v>85</v>
      </c>
      <c r="B22" s="5">
        <f t="shared" si="1"/>
        <v>18240960754.889999</v>
      </c>
      <c r="C22" s="43">
        <v>5413524600</v>
      </c>
      <c r="D22" s="43">
        <v>64449000</v>
      </c>
      <c r="E22" s="50">
        <v>7150035920</v>
      </c>
      <c r="F22" s="50"/>
      <c r="G22" s="5">
        <v>1942590000</v>
      </c>
      <c r="H22" s="19"/>
      <c r="I22" s="5">
        <v>0</v>
      </c>
      <c r="J22" s="5">
        <v>3670361234.8899999</v>
      </c>
      <c r="K22" s="7"/>
    </row>
    <row r="23" spans="1:11" x14ac:dyDescent="0.25">
      <c r="A23" s="30" t="s">
        <v>86</v>
      </c>
      <c r="B23" s="5">
        <f t="shared" si="1"/>
        <v>0</v>
      </c>
      <c r="C23" s="43"/>
      <c r="D23" s="43"/>
      <c r="E23" s="43"/>
      <c r="F23" s="43"/>
      <c r="G23" s="19"/>
      <c r="H23" s="19"/>
      <c r="I23" s="19"/>
      <c r="J23" s="19"/>
    </row>
    <row r="24" spans="1:11" x14ac:dyDescent="0.25">
      <c r="A24" s="19"/>
      <c r="B24" s="5"/>
      <c r="C24" s="5"/>
      <c r="D24" s="5"/>
      <c r="E24" s="5"/>
      <c r="F24" s="5"/>
      <c r="G24" s="5"/>
      <c r="H24" s="19"/>
      <c r="I24" s="19"/>
      <c r="J24" s="19"/>
    </row>
    <row r="25" spans="1:11" x14ac:dyDescent="0.25">
      <c r="A25" s="29" t="s">
        <v>10</v>
      </c>
      <c r="B25" s="5"/>
      <c r="C25" s="5"/>
      <c r="D25" s="5"/>
      <c r="E25" s="5"/>
      <c r="F25" s="5"/>
      <c r="G25" s="5"/>
      <c r="H25" s="5"/>
      <c r="I25" s="5"/>
      <c r="J25" s="5"/>
    </row>
    <row r="26" spans="1:11" x14ac:dyDescent="0.25">
      <c r="A26" s="30" t="s">
        <v>83</v>
      </c>
      <c r="B26" s="5">
        <f>B20</f>
        <v>3301395586</v>
      </c>
      <c r="C26" s="5"/>
      <c r="D26" s="5"/>
      <c r="E26" s="5"/>
      <c r="F26" s="5"/>
      <c r="G26" s="5"/>
      <c r="H26" s="5"/>
      <c r="I26" s="5"/>
      <c r="J26" s="5"/>
    </row>
    <row r="27" spans="1:11" x14ac:dyDescent="0.25">
      <c r="A27" s="30" t="s">
        <v>84</v>
      </c>
      <c r="B27" s="5">
        <v>2887550897.6199999</v>
      </c>
      <c r="C27" s="5"/>
      <c r="D27" s="5"/>
      <c r="E27" s="5"/>
      <c r="F27" s="5"/>
      <c r="G27" s="5"/>
      <c r="H27" s="5"/>
      <c r="I27" s="5"/>
      <c r="J27" s="5"/>
    </row>
    <row r="28" spans="1:11" x14ac:dyDescent="0.25">
      <c r="A28" s="19"/>
      <c r="B28" s="19"/>
      <c r="C28" s="19"/>
      <c r="D28" s="19"/>
      <c r="E28" s="19"/>
      <c r="F28" s="19"/>
      <c r="G28" s="19"/>
      <c r="H28" s="19"/>
      <c r="I28" s="19"/>
      <c r="J28" s="19"/>
    </row>
    <row r="29" spans="1:11" x14ac:dyDescent="0.25">
      <c r="A29" s="19" t="s">
        <v>11</v>
      </c>
      <c r="B29" s="19"/>
      <c r="C29" s="19"/>
      <c r="D29" s="19"/>
      <c r="E29" s="19"/>
      <c r="F29" s="19"/>
      <c r="G29" s="19"/>
      <c r="H29" s="19"/>
      <c r="I29" s="19"/>
      <c r="J29" s="19"/>
    </row>
    <row r="30" spans="1:11" x14ac:dyDescent="0.25">
      <c r="A30" s="30" t="s">
        <v>12</v>
      </c>
      <c r="B30" s="31">
        <v>1.4459435845999999</v>
      </c>
      <c r="C30" s="31">
        <v>1.4459435845999999</v>
      </c>
      <c r="D30" s="31">
        <v>1.4459435845999999</v>
      </c>
      <c r="E30" s="31">
        <v>1.4459435845999999</v>
      </c>
      <c r="F30" s="31">
        <v>1.4459435845999999</v>
      </c>
      <c r="G30" s="31">
        <v>1.4459435845999999</v>
      </c>
      <c r="H30" s="31">
        <v>1.4459435845999999</v>
      </c>
      <c r="I30" s="31"/>
      <c r="J30" s="31">
        <v>1.4459435845999999</v>
      </c>
    </row>
    <row r="31" spans="1:11" x14ac:dyDescent="0.25">
      <c r="A31" s="30" t="s">
        <v>87</v>
      </c>
      <c r="B31" s="31">
        <v>1.5060713566999999</v>
      </c>
      <c r="C31" s="31">
        <v>1.5060713566999999</v>
      </c>
      <c r="D31" s="31">
        <v>1.5060713566999999</v>
      </c>
      <c r="E31" s="31">
        <v>1.5060713566999999</v>
      </c>
      <c r="F31" s="31">
        <v>1.5060713566999999</v>
      </c>
      <c r="G31" s="31">
        <v>1.5060713566999999</v>
      </c>
      <c r="H31" s="31">
        <v>1.5060713566999999</v>
      </c>
      <c r="I31" s="31"/>
      <c r="J31" s="31">
        <v>1.5060713566999999</v>
      </c>
    </row>
    <row r="32" spans="1:11" x14ac:dyDescent="0.25">
      <c r="A32" s="30" t="s">
        <v>13</v>
      </c>
      <c r="B32" s="5">
        <v>73492</v>
      </c>
      <c r="C32" s="5"/>
      <c r="D32" s="5"/>
      <c r="E32" s="5"/>
      <c r="F32" s="5"/>
      <c r="G32" s="5"/>
      <c r="H32" s="5"/>
      <c r="I32" s="5"/>
      <c r="J32" s="5"/>
    </row>
    <row r="33" spans="1:10" x14ac:dyDescent="0.25">
      <c r="A33" s="19"/>
      <c r="B33" s="19"/>
      <c r="C33" s="19"/>
      <c r="D33" s="20"/>
      <c r="E33" s="19"/>
      <c r="F33" s="19"/>
      <c r="G33" s="19"/>
      <c r="H33" s="19"/>
      <c r="I33" s="19"/>
      <c r="J33" s="19"/>
    </row>
    <row r="34" spans="1:10" x14ac:dyDescent="0.25">
      <c r="A34" s="32" t="s">
        <v>14</v>
      </c>
      <c r="B34" s="19"/>
      <c r="C34" s="19"/>
      <c r="D34" s="19"/>
      <c r="E34" s="19"/>
      <c r="F34" s="19"/>
      <c r="G34" s="19"/>
      <c r="H34" s="19"/>
      <c r="I34" s="19"/>
      <c r="J34" s="19"/>
    </row>
    <row r="35" spans="1:10" x14ac:dyDescent="0.25">
      <c r="A35" s="19" t="s">
        <v>15</v>
      </c>
      <c r="B35" s="5">
        <f>B19/B30</f>
        <v>1411689590.6175177</v>
      </c>
      <c r="C35" s="5">
        <f t="shared" ref="C35:G35" si="2">C19/C30</f>
        <v>618155684.99324429</v>
      </c>
      <c r="D35" s="5"/>
      <c r="E35" s="5">
        <f t="shared" si="2"/>
        <v>793533905.62427342</v>
      </c>
      <c r="F35" s="5"/>
      <c r="G35" s="5">
        <f t="shared" si="2"/>
        <v>0</v>
      </c>
      <c r="H35" s="5"/>
      <c r="I35" s="5"/>
      <c r="J35" s="5"/>
    </row>
    <row r="36" spans="1:10" x14ac:dyDescent="0.25">
      <c r="A36" s="19" t="s">
        <v>88</v>
      </c>
      <c r="B36" s="5">
        <f>B21/B31</f>
        <v>1541910407.8828671</v>
      </c>
      <c r="C36" s="5">
        <f t="shared" ref="C36:G36" si="3">C21/C31</f>
        <v>697437285.64199173</v>
      </c>
      <c r="D36" s="5"/>
      <c r="E36" s="5">
        <f t="shared" si="3"/>
        <v>653244046.91933417</v>
      </c>
      <c r="F36" s="5"/>
      <c r="G36" s="5">
        <f t="shared" si="3"/>
        <v>0</v>
      </c>
      <c r="H36" s="5"/>
      <c r="I36" s="5"/>
      <c r="J36" s="5"/>
    </row>
    <row r="37" spans="1:10" x14ac:dyDescent="0.25">
      <c r="A37" s="19" t="s">
        <v>16</v>
      </c>
      <c r="B37" s="5">
        <f>B35/B10</f>
        <v>14003.282606626746</v>
      </c>
      <c r="C37" s="5">
        <f>C35/(C10+D10)</f>
        <v>23283.869308938716</v>
      </c>
      <c r="D37" s="5"/>
      <c r="E37" s="5">
        <f>E35/(E10+F10)</f>
        <v>6899.0350077314006</v>
      </c>
      <c r="F37" s="5"/>
      <c r="G37" s="5">
        <f>G35/G10</f>
        <v>0</v>
      </c>
      <c r="H37" s="5"/>
      <c r="I37" s="5"/>
      <c r="J37" s="5"/>
    </row>
    <row r="38" spans="1:10" x14ac:dyDescent="0.25">
      <c r="A38" s="19" t="s">
        <v>89</v>
      </c>
      <c r="B38" s="5">
        <f>B36/B14</f>
        <v>13947.208658411027</v>
      </c>
      <c r="C38" s="5">
        <f>C36/(C14+D14)</f>
        <v>22333.477685072052</v>
      </c>
      <c r="D38" s="5"/>
      <c r="E38" s="5">
        <f>E36/(E14+F14)</f>
        <v>5399.5441190872489</v>
      </c>
      <c r="F38" s="5"/>
      <c r="G38" s="33">
        <f>G36/G14</f>
        <v>0</v>
      </c>
      <c r="H38" s="33"/>
      <c r="I38" s="33"/>
      <c r="J38" s="33"/>
    </row>
    <row r="39" spans="1:10" x14ac:dyDescent="0.25">
      <c r="A39" s="19"/>
      <c r="B39" s="19"/>
      <c r="C39" s="19"/>
      <c r="D39" s="19"/>
      <c r="E39" s="19"/>
      <c r="F39" s="19"/>
      <c r="G39" s="19"/>
      <c r="H39" s="19"/>
      <c r="I39" s="19"/>
      <c r="J39" s="19"/>
    </row>
    <row r="40" spans="1:10" x14ac:dyDescent="0.25">
      <c r="A40" s="32" t="s">
        <v>17</v>
      </c>
      <c r="B40" s="19"/>
      <c r="C40" s="19"/>
      <c r="D40" s="19"/>
      <c r="E40" s="19"/>
      <c r="F40" s="19"/>
      <c r="G40" s="19"/>
      <c r="H40" s="19"/>
      <c r="I40" s="19"/>
      <c r="J40" s="19"/>
    </row>
    <row r="41" spans="1:10" x14ac:dyDescent="0.25">
      <c r="A41" s="19"/>
      <c r="B41" s="19"/>
      <c r="C41" s="19"/>
      <c r="D41" s="19"/>
      <c r="E41" s="19"/>
      <c r="F41" s="19"/>
      <c r="G41" s="19"/>
      <c r="H41" s="19"/>
      <c r="I41" s="19"/>
      <c r="J41" s="19"/>
    </row>
    <row r="42" spans="1:10" x14ac:dyDescent="0.25">
      <c r="A42" s="19" t="s">
        <v>18</v>
      </c>
      <c r="B42" s="19"/>
      <c r="C42" s="19"/>
      <c r="D42" s="19"/>
      <c r="E42" s="19"/>
      <c r="F42" s="19"/>
      <c r="G42" s="19"/>
      <c r="H42" s="19"/>
      <c r="I42" s="19"/>
      <c r="J42" s="19"/>
    </row>
    <row r="43" spans="1:10" x14ac:dyDescent="0.25">
      <c r="A43" s="19" t="s">
        <v>19</v>
      </c>
      <c r="B43" s="9">
        <f>(B13/B32)*100</f>
        <v>147.53034343874162</v>
      </c>
      <c r="C43" s="9" t="e">
        <f t="shared" ref="C43:G43" si="4">(C13/C32)*100</f>
        <v>#DIV/0!</v>
      </c>
      <c r="D43" s="9" t="e">
        <f t="shared" si="4"/>
        <v>#DIV/0!</v>
      </c>
      <c r="E43" s="9" t="e">
        <f t="shared" si="4"/>
        <v>#DIV/0!</v>
      </c>
      <c r="F43" s="9" t="e">
        <f t="shared" si="4"/>
        <v>#DIV/0!</v>
      </c>
      <c r="G43" s="9" t="e">
        <f t="shared" si="4"/>
        <v>#DIV/0!</v>
      </c>
      <c r="H43" s="9"/>
      <c r="I43" s="9"/>
      <c r="J43" s="9"/>
    </row>
    <row r="44" spans="1:10" x14ac:dyDescent="0.25">
      <c r="A44" s="19" t="s">
        <v>20</v>
      </c>
      <c r="B44" s="9">
        <f>(B15/B32)*100</f>
        <v>132.28242529799161</v>
      </c>
      <c r="C44" s="9" t="e">
        <f t="shared" ref="C44:G44" si="5">(C15/C32)*100</f>
        <v>#DIV/0!</v>
      </c>
      <c r="D44" s="9" t="e">
        <f t="shared" si="5"/>
        <v>#DIV/0!</v>
      </c>
      <c r="E44" s="9" t="e">
        <f t="shared" si="5"/>
        <v>#DIV/0!</v>
      </c>
      <c r="F44" s="9" t="e">
        <f t="shared" si="5"/>
        <v>#DIV/0!</v>
      </c>
      <c r="G44" s="9" t="e">
        <f t="shared" si="5"/>
        <v>#DIV/0!</v>
      </c>
      <c r="H44" s="9"/>
      <c r="I44" s="9"/>
      <c r="J44" s="9"/>
    </row>
    <row r="45" spans="1:10" x14ac:dyDescent="0.25">
      <c r="A45" s="19"/>
      <c r="B45" s="19"/>
      <c r="C45" s="19"/>
      <c r="D45" s="19"/>
      <c r="E45" s="19"/>
      <c r="F45" s="19"/>
      <c r="G45" s="19"/>
      <c r="H45" s="19"/>
      <c r="I45" s="19"/>
      <c r="J45" s="19"/>
    </row>
    <row r="46" spans="1:10" x14ac:dyDescent="0.25">
      <c r="A46" s="19" t="s">
        <v>21</v>
      </c>
      <c r="B46" s="19"/>
      <c r="C46" s="19"/>
      <c r="D46" s="19"/>
      <c r="E46" s="19"/>
      <c r="F46" s="19"/>
      <c r="G46" s="19"/>
      <c r="H46" s="19"/>
      <c r="I46" s="19"/>
      <c r="J46" s="19"/>
    </row>
    <row r="47" spans="1:10" x14ac:dyDescent="0.25">
      <c r="A47" s="19" t="s">
        <v>22</v>
      </c>
      <c r="B47" s="9">
        <f>B14/B12*100</f>
        <v>96.790668219239635</v>
      </c>
      <c r="C47" s="9">
        <f>C14/C12*100</f>
        <v>87.987410965711447</v>
      </c>
      <c r="D47" s="9"/>
      <c r="E47" s="9">
        <f>E14/E12*100</f>
        <v>99.952796883801</v>
      </c>
      <c r="F47" s="9"/>
      <c r="G47" s="9">
        <f>G14/G12*100</f>
        <v>15.212741751990896</v>
      </c>
      <c r="H47" s="9"/>
      <c r="I47" s="9"/>
      <c r="J47" s="9"/>
    </row>
    <row r="48" spans="1:10" x14ac:dyDescent="0.25">
      <c r="A48" s="19" t="s">
        <v>23</v>
      </c>
      <c r="B48" s="9">
        <f>B21/B20*100</f>
        <v>70.34077072610468</v>
      </c>
      <c r="C48" s="9">
        <f>C21/(C20+D20)*100</f>
        <v>84.268894138271804</v>
      </c>
      <c r="D48" s="9"/>
      <c r="E48" s="9">
        <f>E21/E20*100</f>
        <v>62.693477295726218</v>
      </c>
      <c r="F48" s="9"/>
      <c r="G48" s="9">
        <f>G21/G20*100</f>
        <v>0</v>
      </c>
      <c r="H48" s="9"/>
      <c r="I48" s="9"/>
      <c r="J48" s="9"/>
    </row>
    <row r="49" spans="1:10" x14ac:dyDescent="0.25">
      <c r="A49" s="19" t="s">
        <v>24</v>
      </c>
      <c r="B49" s="9">
        <f>AVERAGE(B47:B48)</f>
        <v>83.565719472672157</v>
      </c>
      <c r="C49" s="9">
        <f t="shared" ref="C49:G49" si="6">AVERAGE(C47:C48)</f>
        <v>86.128152551991633</v>
      </c>
      <c r="D49" s="9"/>
      <c r="E49" s="9">
        <f t="shared" si="6"/>
        <v>81.323137089763605</v>
      </c>
      <c r="F49" s="9"/>
      <c r="G49" s="9">
        <f t="shared" si="6"/>
        <v>7.6063708759954478</v>
      </c>
      <c r="H49" s="9"/>
      <c r="I49" s="9"/>
      <c r="J49" s="9"/>
    </row>
    <row r="50" spans="1:10" x14ac:dyDescent="0.25">
      <c r="A50" s="19"/>
      <c r="B50" s="9"/>
      <c r="C50" s="9"/>
      <c r="D50" s="9"/>
      <c r="E50" s="9"/>
      <c r="F50" s="9"/>
      <c r="G50" s="9"/>
      <c r="H50" s="9"/>
      <c r="I50" s="9"/>
      <c r="J50" s="9"/>
    </row>
    <row r="51" spans="1:10" x14ac:dyDescent="0.25">
      <c r="A51" s="19" t="s">
        <v>25</v>
      </c>
      <c r="B51" s="19"/>
      <c r="C51" s="19"/>
      <c r="D51" s="19"/>
      <c r="E51" s="19"/>
      <c r="F51" s="19"/>
      <c r="G51" s="19"/>
      <c r="H51" s="19"/>
      <c r="I51" s="19"/>
      <c r="J51" s="19"/>
    </row>
    <row r="52" spans="1:10" x14ac:dyDescent="0.25">
      <c r="A52" s="19" t="s">
        <v>26</v>
      </c>
      <c r="B52" s="9">
        <f>((B14/(B16*4))*100)</f>
        <v>21.286291181778736</v>
      </c>
      <c r="C52" s="9">
        <f>(((C14+D14)/((C16+D16)*4))*100)</f>
        <v>18.709908053139053</v>
      </c>
      <c r="D52" s="9">
        <f t="shared" ref="D52:G52" si="7">((D14/(D16*4))*100)</f>
        <v>13.6930596285435</v>
      </c>
      <c r="E52" s="9">
        <f>(((E14+F14)/((E16+F16)*4))*100)</f>
        <v>19.909379148427302</v>
      </c>
      <c r="F52" s="9">
        <f t="shared" si="7"/>
        <v>16.728326941167957</v>
      </c>
      <c r="G52" s="9">
        <f t="shared" si="7"/>
        <v>3.8031854379977239</v>
      </c>
      <c r="H52" s="9"/>
      <c r="I52" s="9"/>
      <c r="J52" s="9"/>
    </row>
    <row r="53" spans="1:10" x14ac:dyDescent="0.25">
      <c r="A53" s="19" t="s">
        <v>27</v>
      </c>
      <c r="B53" s="9">
        <f>B21/B22*100</f>
        <v>12.730837652218852</v>
      </c>
      <c r="C53" s="9">
        <f>C21/(C22+D22)*100</f>
        <v>19.174797027134264</v>
      </c>
      <c r="D53" s="9"/>
      <c r="E53" s="9">
        <f>E21/E22*100</f>
        <v>13.759821055556321</v>
      </c>
      <c r="F53" s="9"/>
      <c r="G53" s="9">
        <f>G21/G22*100</f>
        <v>0</v>
      </c>
      <c r="H53" s="9"/>
      <c r="I53" s="9"/>
      <c r="J53" s="9"/>
    </row>
    <row r="54" spans="1:10" x14ac:dyDescent="0.25">
      <c r="A54" s="19" t="s">
        <v>28</v>
      </c>
      <c r="B54" s="9">
        <f>(B52+B53)/2</f>
        <v>17.008564416998794</v>
      </c>
      <c r="C54" s="9">
        <f t="shared" ref="C54:G54" si="8">(C52+C53)/2</f>
        <v>18.94235254013666</v>
      </c>
      <c r="D54" s="9"/>
      <c r="E54" s="9">
        <f t="shared" si="8"/>
        <v>16.834600101991811</v>
      </c>
      <c r="F54" s="9"/>
      <c r="G54" s="9">
        <f t="shared" si="8"/>
        <v>1.901592718998862</v>
      </c>
      <c r="H54" s="9"/>
      <c r="I54" s="9"/>
      <c r="J54" s="9"/>
    </row>
    <row r="55" spans="1:10" x14ac:dyDescent="0.25">
      <c r="A55" s="19"/>
      <c r="B55" s="9"/>
      <c r="C55" s="9"/>
      <c r="D55" s="9"/>
      <c r="E55" s="9"/>
      <c r="F55" s="9"/>
      <c r="G55" s="9"/>
      <c r="H55" s="9"/>
      <c r="I55" s="9"/>
      <c r="J55" s="9"/>
    </row>
    <row r="56" spans="1:10" x14ac:dyDescent="0.25">
      <c r="A56" s="19" t="s">
        <v>64</v>
      </c>
      <c r="B56" s="19"/>
      <c r="C56" s="19"/>
      <c r="D56" s="19"/>
      <c r="E56" s="19"/>
      <c r="F56" s="19"/>
      <c r="G56" s="19"/>
      <c r="H56" s="19"/>
      <c r="I56" s="19"/>
      <c r="J56" s="19"/>
    </row>
    <row r="57" spans="1:10" x14ac:dyDescent="0.25">
      <c r="A57" s="19" t="s">
        <v>29</v>
      </c>
      <c r="B57" s="9"/>
      <c r="C57" s="9"/>
      <c r="D57" s="9"/>
      <c r="E57" s="9"/>
      <c r="F57" s="9"/>
      <c r="G57" s="9"/>
      <c r="H57" s="9"/>
      <c r="I57" s="9"/>
      <c r="J57" s="9"/>
    </row>
    <row r="58" spans="1:10" x14ac:dyDescent="0.25">
      <c r="A58" s="19"/>
      <c r="B58" s="19"/>
      <c r="C58" s="19"/>
      <c r="D58" s="19"/>
      <c r="E58" s="19"/>
      <c r="F58" s="19"/>
      <c r="G58" s="19"/>
      <c r="H58" s="19"/>
      <c r="I58" s="19"/>
      <c r="J58" s="19"/>
    </row>
    <row r="59" spans="1:10" x14ac:dyDescent="0.25">
      <c r="A59" s="19" t="s">
        <v>30</v>
      </c>
      <c r="B59" s="19"/>
      <c r="C59" s="19"/>
      <c r="D59" s="19"/>
      <c r="E59" s="19"/>
      <c r="F59" s="19"/>
      <c r="G59" s="19"/>
      <c r="H59" s="19"/>
      <c r="I59" s="19"/>
      <c r="J59" s="19"/>
    </row>
    <row r="60" spans="1:10" x14ac:dyDescent="0.25">
      <c r="A60" s="19" t="s">
        <v>31</v>
      </c>
      <c r="B60" s="9">
        <f>((B14/B10)-1)*100</f>
        <v>9.6635960242565275</v>
      </c>
      <c r="C60" s="9">
        <f>((C14/C10)-1)*100</f>
        <v>14.41762281545731</v>
      </c>
      <c r="D60" s="9"/>
      <c r="E60" s="9">
        <f>((E14/E10)-1)*100</f>
        <v>8.2415151397999153</v>
      </c>
      <c r="F60" s="9"/>
      <c r="G60" s="9">
        <f>((G14/G10)-1)*100</f>
        <v>-49.455700030238894</v>
      </c>
      <c r="H60" s="9"/>
      <c r="I60" s="9"/>
      <c r="J60" s="9"/>
    </row>
    <row r="61" spans="1:10" x14ac:dyDescent="0.25">
      <c r="A61" s="19" t="s">
        <v>32</v>
      </c>
      <c r="B61" s="9">
        <f>((B36/B35)-1)*100</f>
        <v>9.2244653591577972</v>
      </c>
      <c r="C61" s="9">
        <f t="shared" ref="C61:G61" si="9">((C36/C35)-1)*100</f>
        <v>12.82550699984486</v>
      </c>
      <c r="D61" s="9"/>
      <c r="E61" s="9">
        <f t="shared" si="9"/>
        <v>-17.679125959283759</v>
      </c>
      <c r="F61" s="9"/>
      <c r="G61" s="9" t="e">
        <f t="shared" si="9"/>
        <v>#DIV/0!</v>
      </c>
      <c r="H61" s="9"/>
      <c r="I61" s="9"/>
      <c r="J61" s="9"/>
    </row>
    <row r="62" spans="1:10" x14ac:dyDescent="0.25">
      <c r="A62" s="19" t="s">
        <v>33</v>
      </c>
      <c r="B62" s="9">
        <f>((B38/B37)-1)*100</f>
        <v>-0.40043431094637372</v>
      </c>
      <c r="C62" s="9">
        <f t="shared" ref="C62:G62" si="10">((C38/C37)-1)*100</f>
        <v>-4.0817598280445955</v>
      </c>
      <c r="D62" s="9"/>
      <c r="E62" s="9">
        <f t="shared" si="10"/>
        <v>-21.734791705850864</v>
      </c>
      <c r="F62" s="9"/>
      <c r="G62" s="9" t="e">
        <f t="shared" si="10"/>
        <v>#DIV/0!</v>
      </c>
      <c r="H62" s="9"/>
      <c r="I62" s="9"/>
      <c r="J62" s="9"/>
    </row>
    <row r="63" spans="1:10" x14ac:dyDescent="0.25">
      <c r="A63" s="19"/>
      <c r="B63" s="9"/>
      <c r="C63" s="9"/>
      <c r="D63" s="9"/>
      <c r="E63" s="9"/>
      <c r="F63" s="9"/>
      <c r="G63" s="9"/>
      <c r="H63" s="9"/>
      <c r="I63" s="9"/>
      <c r="J63" s="9"/>
    </row>
    <row r="64" spans="1:10" x14ac:dyDescent="0.25">
      <c r="A64" s="19" t="s">
        <v>34</v>
      </c>
      <c r="B64" s="19"/>
      <c r="C64" s="19"/>
      <c r="D64" s="19"/>
      <c r="E64" s="19"/>
      <c r="F64" s="19"/>
      <c r="G64" s="19"/>
      <c r="H64" s="19"/>
      <c r="I64" s="19"/>
      <c r="J64" s="19"/>
    </row>
    <row r="65" spans="1:10" x14ac:dyDescent="0.25">
      <c r="A65" s="19" t="s">
        <v>68</v>
      </c>
      <c r="B65" s="5">
        <f>B20/(B12*3)</f>
        <v>9634.6947122049169</v>
      </c>
      <c r="C65" s="5">
        <f>(C20+D20)/((C12+D12)*3)</f>
        <v>10733.441401877206</v>
      </c>
      <c r="D65" s="5"/>
      <c r="E65" s="5">
        <f t="shared" ref="E65:G65" si="11">E20/(E12*3)</f>
        <v>6224.7563922539293</v>
      </c>
      <c r="F65" s="5"/>
      <c r="G65" s="5">
        <f t="shared" si="11"/>
        <v>22100</v>
      </c>
      <c r="H65" s="5"/>
      <c r="I65" s="5"/>
      <c r="J65" s="5"/>
    </row>
    <row r="66" spans="1:10" x14ac:dyDescent="0.25">
      <c r="A66" s="19" t="s">
        <v>69</v>
      </c>
      <c r="B66" s="5">
        <f>B21/(B14*3)</f>
        <v>7001.8304887836939</v>
      </c>
      <c r="C66" s="5">
        <f>C21/((C14+D14)*3)</f>
        <v>11211.937012328546</v>
      </c>
      <c r="D66" s="5"/>
      <c r="E66" s="5">
        <f t="shared" ref="E66" si="12">E21/(E14*3)</f>
        <v>3904.3592147089289</v>
      </c>
      <c r="F66" s="5"/>
      <c r="G66" s="5">
        <f>G21/(G14*3)</f>
        <v>0</v>
      </c>
      <c r="H66" s="5"/>
      <c r="I66" s="5"/>
      <c r="J66" s="5"/>
    </row>
    <row r="67" spans="1:10" x14ac:dyDescent="0.25">
      <c r="A67" s="19" t="s">
        <v>37</v>
      </c>
      <c r="B67" s="9">
        <f>(B65/B66)*B49</f>
        <v>114.98853004435061</v>
      </c>
      <c r="C67" s="9">
        <f>(C65/C66)*C49</f>
        <v>82.452432389891626</v>
      </c>
      <c r="D67" s="9"/>
      <c r="E67" s="9">
        <f>(E65/E66)*E49</f>
        <v>129.65423763535222</v>
      </c>
      <c r="F67" s="9"/>
      <c r="G67" s="9" t="e">
        <f>(G65/G66)*G49</f>
        <v>#DIV/0!</v>
      </c>
      <c r="H67" s="9"/>
      <c r="I67" s="9"/>
      <c r="J67" s="9"/>
    </row>
    <row r="68" spans="1:10" x14ac:dyDescent="0.25">
      <c r="A68" s="9" t="s">
        <v>63</v>
      </c>
      <c r="B68" s="17">
        <f>B20/B12</f>
        <v>28904.084136614751</v>
      </c>
      <c r="C68" s="17">
        <f>(C20+D20)/(C12+D12)</f>
        <v>32200.324205631619</v>
      </c>
      <c r="D68" s="17"/>
      <c r="E68" s="17">
        <f t="shared" ref="E68:G68" si="13">E20/E12</f>
        <v>18674.269176761787</v>
      </c>
      <c r="F68" s="17"/>
      <c r="G68" s="17">
        <f t="shared" si="13"/>
        <v>66300</v>
      </c>
      <c r="H68" s="17"/>
      <c r="I68" s="17"/>
      <c r="J68" s="17"/>
    </row>
    <row r="69" spans="1:10" x14ac:dyDescent="0.25">
      <c r="A69" s="9" t="s">
        <v>62</v>
      </c>
      <c r="B69" s="9">
        <f>B21/B14</f>
        <v>21005.491466351083</v>
      </c>
      <c r="C69" s="9">
        <f>C21/(C14+D14)</f>
        <v>33635.811036985644</v>
      </c>
      <c r="D69" s="9"/>
      <c r="E69" s="9">
        <f t="shared" ref="E69:G69" si="14">E21/E14</f>
        <v>11713.077644126786</v>
      </c>
      <c r="F69" s="9"/>
      <c r="G69" s="9">
        <f t="shared" si="14"/>
        <v>0</v>
      </c>
      <c r="H69" s="9"/>
      <c r="I69" s="9"/>
      <c r="J69" s="9"/>
    </row>
    <row r="70" spans="1:10" x14ac:dyDescent="0.25">
      <c r="A70" s="19"/>
      <c r="B70" s="9"/>
      <c r="C70" s="9"/>
      <c r="D70" s="9"/>
      <c r="E70" s="9"/>
      <c r="F70" s="9"/>
      <c r="G70" s="9"/>
      <c r="H70" s="9"/>
      <c r="I70" s="9"/>
      <c r="J70" s="9"/>
    </row>
    <row r="71" spans="1:10" x14ac:dyDescent="0.25">
      <c r="A71" s="19" t="s">
        <v>38</v>
      </c>
      <c r="B71" s="9"/>
      <c r="C71" s="9"/>
      <c r="D71" s="9"/>
      <c r="E71" s="9"/>
      <c r="F71" s="9"/>
      <c r="G71" s="9"/>
      <c r="H71" s="9"/>
      <c r="I71" s="9"/>
      <c r="J71" s="9"/>
    </row>
    <row r="72" spans="1:10" x14ac:dyDescent="0.25">
      <c r="A72" s="19" t="s">
        <v>39</v>
      </c>
      <c r="B72" s="9">
        <f>(B27/B26)*100</f>
        <v>87.464553168515678</v>
      </c>
      <c r="C72" s="9"/>
      <c r="D72" s="9"/>
      <c r="E72" s="9"/>
      <c r="F72" s="9"/>
      <c r="G72" s="9"/>
      <c r="H72" s="9"/>
      <c r="I72" s="9"/>
      <c r="J72" s="9"/>
    </row>
    <row r="73" spans="1:10" x14ac:dyDescent="0.25">
      <c r="A73" s="19" t="s">
        <v>40</v>
      </c>
      <c r="B73" s="9">
        <f>(B21/B27)*100</f>
        <v>80.422031757917907</v>
      </c>
      <c r="C73" s="9"/>
      <c r="D73" s="9"/>
      <c r="E73" s="9"/>
      <c r="F73" s="9"/>
      <c r="G73" s="9"/>
      <c r="H73" s="9"/>
      <c r="I73" s="9"/>
      <c r="J73" s="9"/>
    </row>
    <row r="74" spans="1:10" ht="15.75" thickBot="1" x14ac:dyDescent="0.3">
      <c r="A74" s="36"/>
      <c r="B74" s="36"/>
      <c r="C74" s="36"/>
      <c r="D74" s="36"/>
      <c r="E74" s="36"/>
      <c r="F74" s="36"/>
      <c r="G74" s="36"/>
      <c r="H74" s="36"/>
      <c r="I74" s="36"/>
      <c r="J74" s="36"/>
    </row>
    <row r="75" spans="1:10" ht="15.75" thickTop="1" x14ac:dyDescent="0.25">
      <c r="A75" s="20" t="s">
        <v>90</v>
      </c>
      <c r="B75" s="19"/>
      <c r="C75" s="19"/>
      <c r="D75" s="19"/>
      <c r="E75" s="19"/>
      <c r="F75" s="19"/>
      <c r="G75" s="19"/>
      <c r="H75" s="19"/>
      <c r="I75" s="19"/>
      <c r="J75" s="19"/>
    </row>
    <row r="76" spans="1:10" x14ac:dyDescent="0.25">
      <c r="A76" s="19" t="s">
        <v>128</v>
      </c>
      <c r="B76" s="19"/>
      <c r="C76" s="19"/>
      <c r="D76" s="19"/>
      <c r="E76" s="19"/>
      <c r="F76" s="19"/>
      <c r="G76" s="19"/>
      <c r="H76" s="19"/>
      <c r="I76" s="19"/>
      <c r="J76" s="19"/>
    </row>
    <row r="77" spans="1:10" x14ac:dyDescent="0.25">
      <c r="A77" s="19" t="s">
        <v>91</v>
      </c>
      <c r="B77" s="19"/>
      <c r="C77" s="19"/>
      <c r="D77" s="19"/>
      <c r="E77" s="19"/>
      <c r="F77" s="19"/>
      <c r="G77" s="19"/>
      <c r="H77" s="19"/>
      <c r="I77" s="19"/>
      <c r="J77" s="19"/>
    </row>
    <row r="78" spans="1:10" x14ac:dyDescent="0.25">
      <c r="A78" s="19" t="s">
        <v>67</v>
      </c>
      <c r="B78" s="19"/>
      <c r="C78" s="19"/>
      <c r="D78" s="19"/>
      <c r="E78" s="19"/>
      <c r="F78" s="19"/>
      <c r="G78" s="19"/>
      <c r="H78" s="19"/>
      <c r="I78" s="19"/>
      <c r="J78" s="19"/>
    </row>
    <row r="79" spans="1:10" x14ac:dyDescent="0.25">
      <c r="A79" s="19" t="s">
        <v>80</v>
      </c>
      <c r="B79" s="37"/>
      <c r="C79" s="37"/>
      <c r="D79" s="37"/>
      <c r="E79" s="37"/>
      <c r="F79" s="37"/>
      <c r="G79" s="19"/>
      <c r="H79" s="19"/>
      <c r="I79" s="19"/>
      <c r="J79" s="19"/>
    </row>
    <row r="80" spans="1:10" x14ac:dyDescent="0.25">
      <c r="A80" s="19" t="s">
        <v>76</v>
      </c>
      <c r="B80" s="19"/>
      <c r="C80" s="19"/>
      <c r="D80" s="19"/>
      <c r="E80" s="19"/>
      <c r="F80" s="19"/>
      <c r="G80" s="19"/>
      <c r="H80" s="19"/>
      <c r="I80" s="19"/>
      <c r="J80" s="19"/>
    </row>
    <row r="81" spans="1:10" x14ac:dyDescent="0.25">
      <c r="A81" s="19" t="s">
        <v>75</v>
      </c>
      <c r="B81" s="19"/>
      <c r="C81" s="19"/>
      <c r="D81" s="19"/>
      <c r="E81" s="19"/>
      <c r="F81" s="19"/>
      <c r="G81" s="19"/>
      <c r="H81" s="19"/>
      <c r="I81" s="19"/>
      <c r="J81" s="19"/>
    </row>
    <row r="82" spans="1:10" x14ac:dyDescent="0.25">
      <c r="A82" s="19"/>
      <c r="B82" s="19"/>
      <c r="C82" s="19"/>
      <c r="D82" s="19"/>
      <c r="E82" s="19"/>
      <c r="F82" s="19"/>
      <c r="G82" s="19"/>
      <c r="H82" s="19"/>
      <c r="I82" s="19"/>
      <c r="J82" s="19"/>
    </row>
  </sheetData>
  <mergeCells count="13">
    <mergeCell ref="E22:F22"/>
    <mergeCell ref="J4:J5"/>
    <mergeCell ref="C19:D19"/>
    <mergeCell ref="E19:F19"/>
    <mergeCell ref="C21:D21"/>
    <mergeCell ref="E21:F21"/>
    <mergeCell ref="E20:F20"/>
    <mergeCell ref="I4:I5"/>
    <mergeCell ref="A4:A5"/>
    <mergeCell ref="A2:G2"/>
    <mergeCell ref="C5:D5"/>
    <mergeCell ref="E5:F5"/>
    <mergeCell ref="C4:H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1"/>
  <sheetViews>
    <sheetView topLeftCell="E1" zoomScale="90" zoomScaleNormal="90" workbookViewId="0">
      <selection activeCell="C19" sqref="C19:D19"/>
    </sheetView>
  </sheetViews>
  <sheetFormatPr baseColWidth="10" defaultColWidth="11.42578125" defaultRowHeight="15" x14ac:dyDescent="0.25"/>
  <cols>
    <col min="1" max="1" width="55.140625" customWidth="1"/>
    <col min="2" max="2" width="19.140625" bestFit="1" customWidth="1"/>
    <col min="3" max="4" width="16.5703125" customWidth="1"/>
    <col min="5" max="6" width="17.42578125" customWidth="1"/>
    <col min="7" max="7" width="18.5703125" customWidth="1"/>
    <col min="8" max="8" width="13.85546875" bestFit="1" customWidth="1"/>
    <col min="9" max="9" width="14.7109375" customWidth="1"/>
    <col min="10" max="10" width="15.140625" bestFit="1" customWidth="1"/>
  </cols>
  <sheetData>
    <row r="2" spans="1:10" ht="15.75" x14ac:dyDescent="0.25">
      <c r="A2" s="53" t="s">
        <v>92</v>
      </c>
      <c r="B2" s="53"/>
      <c r="C2" s="53"/>
      <c r="D2" s="53"/>
      <c r="E2" s="53"/>
      <c r="F2" s="53"/>
      <c r="G2" s="53"/>
      <c r="H2" s="19"/>
      <c r="I2" s="19"/>
      <c r="J2" s="19"/>
    </row>
    <row r="3" spans="1:10" x14ac:dyDescent="0.25">
      <c r="A3" s="19"/>
      <c r="B3" s="19"/>
      <c r="C3" s="19"/>
      <c r="D3" s="19"/>
      <c r="E3" s="19"/>
      <c r="F3" s="19"/>
      <c r="G3" s="19"/>
      <c r="H3" s="19"/>
      <c r="I3" s="19"/>
      <c r="J3" s="19"/>
    </row>
    <row r="4" spans="1:10" x14ac:dyDescent="0.25">
      <c r="A4" s="51" t="s">
        <v>0</v>
      </c>
      <c r="B4" s="38" t="s">
        <v>1</v>
      </c>
      <c r="C4" s="55" t="s">
        <v>2</v>
      </c>
      <c r="D4" s="55"/>
      <c r="E4" s="55"/>
      <c r="F4" s="55"/>
      <c r="G4" s="55"/>
      <c r="H4" s="55"/>
      <c r="I4" s="51" t="s">
        <v>130</v>
      </c>
      <c r="J4" s="51" t="s">
        <v>77</v>
      </c>
    </row>
    <row r="5" spans="1:10" ht="15.75" thickBot="1" x14ac:dyDescent="0.3">
      <c r="A5" s="52"/>
      <c r="B5" s="39" t="s">
        <v>3</v>
      </c>
      <c r="C5" s="54" t="s">
        <v>4</v>
      </c>
      <c r="D5" s="54"/>
      <c r="E5" s="54" t="s">
        <v>79</v>
      </c>
      <c r="F5" s="54"/>
      <c r="G5" s="39" t="s">
        <v>5</v>
      </c>
      <c r="H5" s="36" t="s">
        <v>78</v>
      </c>
      <c r="I5" s="52"/>
      <c r="J5" s="52"/>
    </row>
    <row r="6" spans="1:10" ht="15.75" thickTop="1" x14ac:dyDescent="0.25">
      <c r="A6" s="19"/>
      <c r="B6" s="19" t="s">
        <v>1</v>
      </c>
      <c r="C6" s="40" t="s">
        <v>72</v>
      </c>
      <c r="D6" s="40" t="s">
        <v>73</v>
      </c>
      <c r="E6" s="40">
        <v>1600</v>
      </c>
      <c r="F6" s="40" t="s">
        <v>74</v>
      </c>
      <c r="G6" s="40" t="s">
        <v>5</v>
      </c>
      <c r="H6" s="19"/>
      <c r="I6" s="19"/>
      <c r="J6" s="19"/>
    </row>
    <row r="7" spans="1:10" x14ac:dyDescent="0.25">
      <c r="A7" s="32" t="s">
        <v>6</v>
      </c>
      <c r="B7" s="19"/>
      <c r="C7" s="19"/>
      <c r="D7" s="19"/>
      <c r="E7" s="19"/>
      <c r="F7" s="19"/>
      <c r="G7" s="19"/>
      <c r="H7" s="19"/>
      <c r="I7" s="19"/>
      <c r="J7" s="19"/>
    </row>
    <row r="8" spans="1:10" x14ac:dyDescent="0.25">
      <c r="A8" s="19"/>
      <c r="B8" s="19"/>
      <c r="C8" s="19"/>
      <c r="D8" s="19"/>
      <c r="E8" s="19"/>
      <c r="F8" s="19"/>
      <c r="G8" s="19"/>
      <c r="H8" s="19"/>
      <c r="I8" s="19"/>
      <c r="J8" s="19"/>
    </row>
    <row r="9" spans="1:10" x14ac:dyDescent="0.25">
      <c r="A9" s="19" t="s">
        <v>7</v>
      </c>
      <c r="B9" s="19"/>
      <c r="C9" s="19"/>
      <c r="D9" s="19"/>
      <c r="E9" s="19"/>
      <c r="F9" s="19"/>
      <c r="G9" s="19"/>
      <c r="H9" s="19"/>
      <c r="I9" s="19"/>
      <c r="J9" s="19"/>
    </row>
    <row r="10" spans="1:10" x14ac:dyDescent="0.25">
      <c r="A10" s="30" t="s">
        <v>41</v>
      </c>
      <c r="B10" s="23">
        <f>+C10+E10</f>
        <v>120805.66666666666</v>
      </c>
      <c r="C10" s="23">
        <v>31239.333333333332</v>
      </c>
      <c r="D10" s="23">
        <v>7268.333333333333</v>
      </c>
      <c r="E10" s="23">
        <v>89566.333333333328</v>
      </c>
      <c r="F10" s="41">
        <v>45280</v>
      </c>
      <c r="G10" s="23">
        <v>5953</v>
      </c>
      <c r="H10" s="19"/>
      <c r="I10" s="19" t="s">
        <v>129</v>
      </c>
      <c r="J10" s="19" t="s">
        <v>129</v>
      </c>
    </row>
    <row r="11" spans="1:10" x14ac:dyDescent="0.25">
      <c r="A11" s="42" t="s">
        <v>61</v>
      </c>
      <c r="B11" s="23">
        <f t="shared" ref="B11:B15" si="0">+C11+E11</f>
        <v>100829.66666666667</v>
      </c>
      <c r="C11" s="23">
        <v>25199</v>
      </c>
      <c r="D11" s="23">
        <v>7268.333333333333</v>
      </c>
      <c r="E11" s="23">
        <v>75630.666666666672</v>
      </c>
      <c r="F11" s="41">
        <v>45280</v>
      </c>
      <c r="G11" s="23">
        <v>5953</v>
      </c>
      <c r="H11" s="19"/>
      <c r="I11" s="19" t="s">
        <v>129</v>
      </c>
      <c r="J11" s="19" t="s">
        <v>129</v>
      </c>
    </row>
    <row r="12" spans="1:10" x14ac:dyDescent="0.25">
      <c r="A12" s="30" t="s">
        <v>93</v>
      </c>
      <c r="B12" s="23">
        <f t="shared" si="0"/>
        <v>139174</v>
      </c>
      <c r="C12" s="23">
        <f>303+29266+3669+2982</f>
        <v>36220</v>
      </c>
      <c r="D12" s="23">
        <v>8525</v>
      </c>
      <c r="E12" s="23">
        <v>102954</v>
      </c>
      <c r="F12" s="41">
        <f>31035+29266</f>
        <v>60301</v>
      </c>
      <c r="G12" s="5">
        <v>7325</v>
      </c>
      <c r="H12" s="19"/>
      <c r="I12" s="19" t="s">
        <v>129</v>
      </c>
      <c r="J12" s="19" t="s">
        <v>129</v>
      </c>
    </row>
    <row r="13" spans="1:10" x14ac:dyDescent="0.25">
      <c r="A13" s="42" t="s">
        <v>61</v>
      </c>
      <c r="B13" s="23">
        <f t="shared" si="0"/>
        <v>132220</v>
      </c>
      <c r="C13" s="23">
        <v>29266</v>
      </c>
      <c r="D13" s="23">
        <v>8525</v>
      </c>
      <c r="E13" s="23">
        <v>102954</v>
      </c>
      <c r="F13" s="41">
        <v>60301</v>
      </c>
      <c r="G13" s="5">
        <v>7325</v>
      </c>
      <c r="H13" s="19"/>
      <c r="I13" s="19" t="s">
        <v>129</v>
      </c>
      <c r="J13" s="19" t="s">
        <v>129</v>
      </c>
    </row>
    <row r="14" spans="1:10" x14ac:dyDescent="0.25">
      <c r="A14" s="30" t="s">
        <v>94</v>
      </c>
      <c r="B14" s="23">
        <f t="shared" si="0"/>
        <v>129335.66666666666</v>
      </c>
      <c r="C14" s="23">
        <v>33395.333333333336</v>
      </c>
      <c r="D14" s="23">
        <v>7888.666666666667</v>
      </c>
      <c r="E14" s="23">
        <v>95940.333333333328</v>
      </c>
      <c r="F14" s="23">
        <v>48594</v>
      </c>
      <c r="G14" s="23">
        <v>7104</v>
      </c>
      <c r="H14" s="23">
        <v>1348.6666666666667</v>
      </c>
      <c r="I14" s="19" t="s">
        <v>129</v>
      </c>
      <c r="J14" s="19" t="s">
        <v>129</v>
      </c>
    </row>
    <row r="15" spans="1:10" x14ac:dyDescent="0.25">
      <c r="A15" s="42" t="s">
        <v>61</v>
      </c>
      <c r="B15" s="23">
        <f t="shared" si="0"/>
        <v>106824</v>
      </c>
      <c r="C15" s="23">
        <v>27381.666666666668</v>
      </c>
      <c r="D15" s="23">
        <v>7888.666666666667</v>
      </c>
      <c r="E15" s="23">
        <v>79442.333333333328</v>
      </c>
      <c r="F15" s="23">
        <v>48594</v>
      </c>
      <c r="G15" s="23">
        <v>7104</v>
      </c>
      <c r="H15" s="23">
        <v>1348.6666666666667</v>
      </c>
      <c r="I15" s="19" t="s">
        <v>129</v>
      </c>
      <c r="J15" s="19" t="s">
        <v>129</v>
      </c>
    </row>
    <row r="16" spans="1:10" x14ac:dyDescent="0.25">
      <c r="A16" s="30" t="s">
        <v>85</v>
      </c>
      <c r="B16" s="23">
        <f>+C16+E16</f>
        <v>131250</v>
      </c>
      <c r="C16" s="5">
        <f>278+26827+3363+2734</f>
        <v>33202</v>
      </c>
      <c r="D16" s="5">
        <v>8525</v>
      </c>
      <c r="E16" s="5">
        <v>98048</v>
      </c>
      <c r="F16" s="23">
        <f>28449+26827</f>
        <v>55276</v>
      </c>
      <c r="G16" s="5">
        <v>7325</v>
      </c>
      <c r="H16" s="19"/>
      <c r="I16" s="19" t="s">
        <v>129</v>
      </c>
      <c r="J16" s="19" t="s">
        <v>132</v>
      </c>
    </row>
    <row r="17" spans="1:11" x14ac:dyDescent="0.25">
      <c r="A17" s="19"/>
      <c r="B17" s="25"/>
      <c r="C17" s="25"/>
      <c r="D17" s="25"/>
      <c r="E17" s="25"/>
      <c r="F17" s="25"/>
      <c r="G17" s="25"/>
      <c r="H17" s="19"/>
      <c r="I17" s="19"/>
      <c r="J17" s="19"/>
    </row>
    <row r="18" spans="1:11" x14ac:dyDescent="0.25">
      <c r="A18" s="29" t="s">
        <v>9</v>
      </c>
      <c r="B18" s="23"/>
      <c r="C18" s="25"/>
      <c r="D18" s="19"/>
      <c r="E18" s="25"/>
      <c r="F18" s="25"/>
      <c r="G18" s="25"/>
      <c r="H18" s="19"/>
      <c r="I18" s="19"/>
      <c r="J18" s="19"/>
    </row>
    <row r="19" spans="1:11" x14ac:dyDescent="0.25">
      <c r="A19" s="30" t="s">
        <v>41</v>
      </c>
      <c r="B19" s="23">
        <f>SUM(C19:J19)</f>
        <v>2527868608.02</v>
      </c>
      <c r="C19" s="50">
        <v>1094720501</v>
      </c>
      <c r="D19" s="50"/>
      <c r="E19" s="50">
        <v>981444120</v>
      </c>
      <c r="F19" s="50"/>
      <c r="G19" s="23">
        <v>348431320</v>
      </c>
      <c r="H19" s="19">
        <v>0</v>
      </c>
      <c r="I19" s="19"/>
      <c r="J19" s="19">
        <v>103272667.02</v>
      </c>
    </row>
    <row r="20" spans="1:11" x14ac:dyDescent="0.25">
      <c r="A20" s="30" t="s">
        <v>93</v>
      </c>
      <c r="B20" s="23">
        <f>SUM(C20:J20)</f>
        <v>3861299597.4400001</v>
      </c>
      <c r="C20" s="43">
        <v>1476415800</v>
      </c>
      <c r="D20" s="43">
        <v>16112250</v>
      </c>
      <c r="E20" s="50">
        <f>(627708016*3)-117441625.56</f>
        <v>1765682422.4400001</v>
      </c>
      <c r="F20" s="50"/>
      <c r="G20" s="23">
        <f>(161882500*3)-200000000</f>
        <v>285647500</v>
      </c>
      <c r="H20" s="5"/>
      <c r="I20" s="5">
        <v>317441625</v>
      </c>
      <c r="J20" s="19"/>
      <c r="K20" s="24"/>
    </row>
    <row r="21" spans="1:11" x14ac:dyDescent="0.25">
      <c r="A21" s="30" t="s">
        <v>94</v>
      </c>
      <c r="B21" s="23">
        <f>SUM(C21:J21)</f>
        <v>3325959330</v>
      </c>
      <c r="C21" s="50">
        <v>1379810240</v>
      </c>
      <c r="D21" s="50"/>
      <c r="E21" s="50">
        <v>1445062220</v>
      </c>
      <c r="F21" s="50"/>
      <c r="G21" s="23">
        <v>38255260</v>
      </c>
      <c r="H21" s="5">
        <v>129899120</v>
      </c>
      <c r="I21" s="5">
        <v>132391609.99999999</v>
      </c>
      <c r="J21" s="5">
        <v>200540880</v>
      </c>
    </row>
    <row r="22" spans="1:11" x14ac:dyDescent="0.25">
      <c r="A22" s="30" t="s">
        <v>85</v>
      </c>
      <c r="B22" s="23">
        <f>SUM(C22:J22)</f>
        <v>18240960754.889999</v>
      </c>
      <c r="C22" s="43">
        <v>5413524600</v>
      </c>
      <c r="D22" s="43">
        <v>64449000</v>
      </c>
      <c r="E22" s="50">
        <v>7032594294.4399996</v>
      </c>
      <c r="F22" s="50"/>
      <c r="G22" s="23">
        <v>1742590000</v>
      </c>
      <c r="H22" s="19"/>
      <c r="I22" s="23">
        <v>317441625.56</v>
      </c>
      <c r="J22" s="23">
        <v>3670361234.8899999</v>
      </c>
      <c r="K22" s="24"/>
    </row>
    <row r="23" spans="1:11" x14ac:dyDescent="0.25">
      <c r="A23" s="30" t="s">
        <v>95</v>
      </c>
      <c r="B23" s="5">
        <f>SUM(C23:J23)</f>
        <v>0</v>
      </c>
      <c r="C23" s="43"/>
      <c r="D23" s="43"/>
      <c r="E23" s="43"/>
      <c r="F23" s="43"/>
      <c r="G23" s="23"/>
      <c r="H23" s="19"/>
      <c r="I23" s="19"/>
      <c r="J23" s="19"/>
    </row>
    <row r="24" spans="1:11" x14ac:dyDescent="0.25">
      <c r="A24" s="19"/>
      <c r="B24" s="25"/>
      <c r="C24" s="25"/>
      <c r="D24" s="25"/>
      <c r="E24" s="25"/>
      <c r="F24" s="25"/>
      <c r="G24" s="25"/>
      <c r="H24" s="19"/>
      <c r="I24" s="19"/>
      <c r="J24" s="19"/>
    </row>
    <row r="25" spans="1:11" x14ac:dyDescent="0.25">
      <c r="A25" s="29" t="s">
        <v>10</v>
      </c>
      <c r="B25" s="25"/>
      <c r="C25" s="25"/>
      <c r="D25" s="25"/>
      <c r="E25" s="25"/>
      <c r="F25" s="25"/>
      <c r="G25" s="25"/>
      <c r="H25" s="25"/>
      <c r="I25" s="25"/>
      <c r="J25" s="25"/>
    </row>
    <row r="26" spans="1:11" x14ac:dyDescent="0.25">
      <c r="A26" s="30" t="s">
        <v>93</v>
      </c>
      <c r="B26" s="25">
        <f>B20</f>
        <v>3861299597.4400001</v>
      </c>
      <c r="C26" s="25"/>
      <c r="D26" s="25"/>
      <c r="E26" s="25"/>
      <c r="F26" s="25"/>
      <c r="G26" s="25"/>
      <c r="H26" s="25"/>
      <c r="I26" s="25"/>
      <c r="J26" s="25"/>
    </row>
    <row r="27" spans="1:11" x14ac:dyDescent="0.25">
      <c r="A27" s="30" t="s">
        <v>94</v>
      </c>
      <c r="B27" s="23">
        <v>3528213430</v>
      </c>
      <c r="C27" s="25"/>
      <c r="D27" s="25"/>
      <c r="E27" s="25"/>
      <c r="F27" s="25"/>
      <c r="G27" s="25"/>
      <c r="H27" s="25"/>
      <c r="I27" s="25"/>
      <c r="J27" s="25"/>
    </row>
    <row r="28" spans="1:11" x14ac:dyDescent="0.25">
      <c r="A28" s="19"/>
      <c r="B28" s="19"/>
      <c r="C28" s="19"/>
      <c r="D28" s="19"/>
      <c r="E28" s="19"/>
      <c r="F28" s="19"/>
      <c r="G28" s="19"/>
      <c r="H28" s="19"/>
      <c r="I28" s="19"/>
      <c r="J28" s="19"/>
    </row>
    <row r="29" spans="1:11" x14ac:dyDescent="0.25">
      <c r="A29" s="19" t="s">
        <v>11</v>
      </c>
      <c r="B29" s="19"/>
      <c r="C29" s="19"/>
      <c r="D29" s="19"/>
      <c r="E29" s="19"/>
      <c r="F29" s="19"/>
      <c r="G29" s="19"/>
      <c r="H29" s="19"/>
      <c r="I29" s="19"/>
      <c r="J29" s="19"/>
    </row>
    <row r="30" spans="1:11" x14ac:dyDescent="0.25">
      <c r="A30" s="30" t="s">
        <v>42</v>
      </c>
      <c r="B30" s="31">
        <v>1.4619442416999999</v>
      </c>
      <c r="C30" s="31">
        <v>1.4619442416999999</v>
      </c>
      <c r="D30" s="31">
        <v>1.4619442416999999</v>
      </c>
      <c r="E30" s="31">
        <v>1.4619442416999999</v>
      </c>
      <c r="F30" s="31">
        <v>1.4619442416999999</v>
      </c>
      <c r="G30" s="31">
        <v>1.4619442416999999</v>
      </c>
      <c r="H30" s="31">
        <v>1.4619442416999999</v>
      </c>
      <c r="I30" s="31"/>
      <c r="J30" s="31">
        <v>1.4619442416999999</v>
      </c>
    </row>
    <row r="31" spans="1:11" x14ac:dyDescent="0.25">
      <c r="A31" s="30" t="s">
        <v>96</v>
      </c>
      <c r="B31" s="31">
        <v>1.5319088546000001</v>
      </c>
      <c r="C31" s="31">
        <v>1.5319088546000001</v>
      </c>
      <c r="D31" s="31">
        <v>1.5319088546000001</v>
      </c>
      <c r="E31" s="31">
        <v>1.5319088546000001</v>
      </c>
      <c r="F31" s="31">
        <v>1.5319088546000001</v>
      </c>
      <c r="G31" s="31">
        <v>1.5319088546000001</v>
      </c>
      <c r="H31" s="31">
        <v>1.5319088546000001</v>
      </c>
      <c r="I31" s="31"/>
      <c r="J31" s="31">
        <v>1.5319088546000001</v>
      </c>
    </row>
    <row r="32" spans="1:11" x14ac:dyDescent="0.25">
      <c r="A32" s="30" t="s">
        <v>13</v>
      </c>
      <c r="B32" s="5">
        <v>73492</v>
      </c>
      <c r="C32" s="5"/>
      <c r="D32" s="5"/>
      <c r="E32" s="5"/>
      <c r="F32" s="5"/>
      <c r="G32" s="5"/>
      <c r="H32" s="5"/>
      <c r="I32" s="5"/>
      <c r="J32" s="5"/>
    </row>
    <row r="33" spans="1:10" x14ac:dyDescent="0.25">
      <c r="A33" s="19"/>
      <c r="B33" s="19"/>
      <c r="C33" s="19"/>
      <c r="D33" s="19"/>
      <c r="E33" s="19"/>
      <c r="F33" s="19"/>
      <c r="G33" s="19"/>
      <c r="H33" s="19"/>
      <c r="I33" s="19"/>
      <c r="J33" s="19"/>
    </row>
    <row r="34" spans="1:10" x14ac:dyDescent="0.25">
      <c r="A34" s="32" t="s">
        <v>14</v>
      </c>
      <c r="B34" s="19"/>
      <c r="C34" s="19"/>
      <c r="D34" s="19"/>
      <c r="E34" s="19"/>
      <c r="F34" s="19"/>
      <c r="G34" s="19"/>
      <c r="H34" s="19"/>
      <c r="I34" s="19"/>
      <c r="J34" s="19"/>
    </row>
    <row r="35" spans="1:10" x14ac:dyDescent="0.25">
      <c r="A35" s="19" t="s">
        <v>43</v>
      </c>
      <c r="B35" s="5">
        <f>B19/B30</f>
        <v>1729114241.1016345</v>
      </c>
      <c r="C35" s="5">
        <f t="shared" ref="C35:G35" si="1">C19/C30</f>
        <v>748811390.86879313</v>
      </c>
      <c r="D35" s="5"/>
      <c r="E35" s="5">
        <f t="shared" si="1"/>
        <v>671328011.01821947</v>
      </c>
      <c r="F35" s="5"/>
      <c r="G35" s="5">
        <f t="shared" si="1"/>
        <v>238334205.95769909</v>
      </c>
      <c r="H35" s="5"/>
      <c r="I35" s="5"/>
      <c r="J35" s="5"/>
    </row>
    <row r="36" spans="1:10" x14ac:dyDescent="0.25">
      <c r="A36" s="19" t="s">
        <v>97</v>
      </c>
      <c r="B36" s="5">
        <f>B21/B31</f>
        <v>2171120899.2707648</v>
      </c>
      <c r="C36" s="5">
        <f t="shared" ref="C36:G36" si="2">C21/C31</f>
        <v>900713012.95551622</v>
      </c>
      <c r="D36" s="5"/>
      <c r="E36" s="5">
        <f t="shared" si="2"/>
        <v>943308223.37163341</v>
      </c>
      <c r="F36" s="5"/>
      <c r="G36" s="5">
        <f t="shared" si="2"/>
        <v>24972282.055245977</v>
      </c>
      <c r="H36" s="5"/>
      <c r="I36" s="5"/>
      <c r="J36" s="5"/>
    </row>
    <row r="37" spans="1:10" x14ac:dyDescent="0.25">
      <c r="A37" s="19" t="s">
        <v>44</v>
      </c>
      <c r="B37" s="5">
        <f>B35/B10</f>
        <v>14313.188187377811</v>
      </c>
      <c r="C37" s="5">
        <f>C35/(C10+D10)</f>
        <v>19445.774197401206</v>
      </c>
      <c r="D37" s="5"/>
      <c r="E37" s="5">
        <f>E35/(E10+F10)</f>
        <v>4978.4669291580258</v>
      </c>
      <c r="F37" s="5"/>
      <c r="G37" s="5">
        <f>G35/G10</f>
        <v>40035.982858676143</v>
      </c>
      <c r="H37" s="5"/>
      <c r="I37" s="5"/>
      <c r="J37" s="5"/>
    </row>
    <row r="38" spans="1:10" x14ac:dyDescent="0.25">
      <c r="A38" s="19" t="s">
        <v>98</v>
      </c>
      <c r="B38" s="5">
        <f>B36/B14</f>
        <v>16786.71440930781</v>
      </c>
      <c r="C38" s="5">
        <f>C36/(C14+D14)</f>
        <v>21817.484084766889</v>
      </c>
      <c r="D38" s="5"/>
      <c r="E38" s="5">
        <f>E36/(E14+F14)</f>
        <v>6526.5338803350087</v>
      </c>
      <c r="F38" s="5"/>
      <c r="G38" s="33">
        <f>G36/G14</f>
        <v>3515.242406425391</v>
      </c>
      <c r="H38" s="33"/>
      <c r="I38" s="33"/>
      <c r="J38" s="33"/>
    </row>
    <row r="39" spans="1:10" x14ac:dyDescent="0.25">
      <c r="A39" s="19"/>
      <c r="B39" s="19"/>
      <c r="C39" s="19"/>
      <c r="D39" s="19"/>
      <c r="E39" s="19"/>
      <c r="F39" s="19"/>
      <c r="G39" s="19"/>
      <c r="H39" s="19"/>
      <c r="I39" s="19"/>
      <c r="J39" s="19"/>
    </row>
    <row r="40" spans="1:10" x14ac:dyDescent="0.25">
      <c r="A40" s="32" t="s">
        <v>17</v>
      </c>
      <c r="B40" s="19"/>
      <c r="C40" s="19"/>
      <c r="D40" s="19"/>
      <c r="E40" s="19"/>
      <c r="F40" s="19"/>
      <c r="G40" s="19"/>
      <c r="H40" s="19"/>
      <c r="I40" s="19"/>
      <c r="J40" s="19"/>
    </row>
    <row r="41" spans="1:10" x14ac:dyDescent="0.25">
      <c r="A41" s="19"/>
      <c r="B41" s="19"/>
      <c r="C41" s="19"/>
      <c r="D41" s="19"/>
      <c r="E41" s="19"/>
      <c r="F41" s="19"/>
      <c r="G41" s="19"/>
      <c r="H41" s="19"/>
      <c r="I41" s="19"/>
      <c r="J41" s="19"/>
    </row>
    <row r="42" spans="1:10" x14ac:dyDescent="0.25">
      <c r="A42" s="19" t="s">
        <v>18</v>
      </c>
      <c r="B42" s="19"/>
      <c r="C42" s="19"/>
      <c r="D42" s="19"/>
      <c r="E42" s="19"/>
      <c r="F42" s="19"/>
      <c r="G42" s="19"/>
      <c r="H42" s="19"/>
      <c r="I42" s="19"/>
      <c r="J42" s="19"/>
    </row>
    <row r="43" spans="1:10" x14ac:dyDescent="0.25">
      <c r="A43" s="19" t="s">
        <v>19</v>
      </c>
      <c r="B43" s="9">
        <f>(B13/B32)*100</f>
        <v>179.91073858379144</v>
      </c>
      <c r="C43" s="9" t="e">
        <f t="shared" ref="C43:G43" si="3">(C13/C32)*100</f>
        <v>#DIV/0!</v>
      </c>
      <c r="D43" s="9" t="e">
        <f t="shared" si="3"/>
        <v>#DIV/0!</v>
      </c>
      <c r="E43" s="9" t="e">
        <f t="shared" si="3"/>
        <v>#DIV/0!</v>
      </c>
      <c r="F43" s="9" t="e">
        <f t="shared" si="3"/>
        <v>#DIV/0!</v>
      </c>
      <c r="G43" s="9" t="e">
        <f t="shared" si="3"/>
        <v>#DIV/0!</v>
      </c>
      <c r="H43" s="9"/>
      <c r="I43" s="9"/>
      <c r="J43" s="9"/>
    </row>
    <row r="44" spans="1:10" x14ac:dyDescent="0.25">
      <c r="A44" s="19" t="s">
        <v>20</v>
      </c>
      <c r="B44" s="9">
        <f>(B15/B32)*100</f>
        <v>145.35459641865782</v>
      </c>
      <c r="C44" s="9" t="e">
        <f t="shared" ref="C44:G44" si="4">(C15/C32)*100</f>
        <v>#DIV/0!</v>
      </c>
      <c r="D44" s="9" t="e">
        <f t="shared" si="4"/>
        <v>#DIV/0!</v>
      </c>
      <c r="E44" s="9" t="e">
        <f t="shared" si="4"/>
        <v>#DIV/0!</v>
      </c>
      <c r="F44" s="9" t="e">
        <f t="shared" si="4"/>
        <v>#DIV/0!</v>
      </c>
      <c r="G44" s="9" t="e">
        <f t="shared" si="4"/>
        <v>#DIV/0!</v>
      </c>
      <c r="H44" s="9"/>
      <c r="I44" s="9"/>
      <c r="J44" s="9"/>
    </row>
    <row r="45" spans="1:10" x14ac:dyDescent="0.25">
      <c r="A45" s="19"/>
      <c r="B45" s="19"/>
      <c r="C45" s="19"/>
      <c r="D45" s="19"/>
      <c r="E45" s="19"/>
      <c r="F45" s="19"/>
      <c r="G45" s="19"/>
      <c r="H45" s="19"/>
      <c r="I45" s="19"/>
      <c r="J45" s="19"/>
    </row>
    <row r="46" spans="1:10" x14ac:dyDescent="0.25">
      <c r="A46" s="19" t="s">
        <v>21</v>
      </c>
      <c r="B46" s="19"/>
      <c r="C46" s="19"/>
      <c r="D46" s="19"/>
      <c r="E46" s="19"/>
      <c r="F46" s="19"/>
      <c r="G46" s="19"/>
      <c r="H46" s="19"/>
      <c r="I46" s="19"/>
      <c r="J46" s="19"/>
    </row>
    <row r="47" spans="1:10" x14ac:dyDescent="0.25">
      <c r="A47" s="19" t="s">
        <v>22</v>
      </c>
      <c r="B47" s="9">
        <f>B14/B12*100</f>
        <v>92.930911425026693</v>
      </c>
      <c r="C47" s="9">
        <f>C14/C12*100</f>
        <v>92.201362046751342</v>
      </c>
      <c r="D47" s="9"/>
      <c r="E47" s="9">
        <f>E14/E12*100</f>
        <v>93.187572443356572</v>
      </c>
      <c r="F47" s="9"/>
      <c r="G47" s="9">
        <f>G14/G12*100</f>
        <v>96.982935153583611</v>
      </c>
      <c r="H47" s="9"/>
      <c r="I47" s="9"/>
      <c r="J47" s="9"/>
    </row>
    <row r="48" spans="1:10" x14ac:dyDescent="0.25">
      <c r="A48" s="19" t="s">
        <v>23</v>
      </c>
      <c r="B48" s="9">
        <f>B21/B20*100</f>
        <v>86.135749015825525</v>
      </c>
      <c r="C48" s="9">
        <f>C21/(C20+D20)*100</f>
        <v>92.447859857642214</v>
      </c>
      <c r="D48" s="9"/>
      <c r="E48" s="9">
        <f>E21/E20*100</f>
        <v>81.841570241327176</v>
      </c>
      <c r="F48" s="9"/>
      <c r="G48" s="9">
        <f>G21/G20*100</f>
        <v>13.392471490210836</v>
      </c>
      <c r="H48" s="9"/>
      <c r="I48" s="9"/>
      <c r="J48" s="9"/>
    </row>
    <row r="49" spans="1:10" x14ac:dyDescent="0.25">
      <c r="A49" s="19" t="s">
        <v>24</v>
      </c>
      <c r="B49" s="9">
        <f>AVERAGE(B47:B48)</f>
        <v>89.533330220426109</v>
      </c>
      <c r="C49" s="9">
        <f t="shared" ref="C49:G49" si="5">AVERAGE(C47:C48)</f>
        <v>92.324610952196778</v>
      </c>
      <c r="D49" s="9"/>
      <c r="E49" s="9">
        <f t="shared" si="5"/>
        <v>87.514571342341867</v>
      </c>
      <c r="F49" s="9"/>
      <c r="G49" s="9">
        <f t="shared" si="5"/>
        <v>55.187703321897224</v>
      </c>
      <c r="H49" s="9"/>
      <c r="I49" s="9"/>
      <c r="J49" s="9"/>
    </row>
    <row r="50" spans="1:10" x14ac:dyDescent="0.25">
      <c r="A50" s="19"/>
      <c r="B50" s="9"/>
      <c r="C50" s="9"/>
      <c r="D50" s="9"/>
      <c r="E50" s="9"/>
      <c r="F50" s="9"/>
      <c r="G50" s="9"/>
      <c r="H50" s="9"/>
      <c r="I50" s="9"/>
      <c r="J50" s="9"/>
    </row>
    <row r="51" spans="1:10" x14ac:dyDescent="0.25">
      <c r="A51" s="19" t="s">
        <v>25</v>
      </c>
      <c r="B51" s="19"/>
      <c r="C51" s="19"/>
      <c r="D51" s="19"/>
      <c r="E51" s="19"/>
      <c r="F51" s="19"/>
      <c r="G51" s="19"/>
      <c r="H51" s="19"/>
      <c r="I51" s="19"/>
      <c r="J51" s="19"/>
    </row>
    <row r="52" spans="1:10" x14ac:dyDescent="0.25">
      <c r="A52" s="19" t="s">
        <v>26</v>
      </c>
      <c r="B52" s="9">
        <f>((B14/(B16*4))*100)</f>
        <v>24.635365079365076</v>
      </c>
      <c r="C52" s="9">
        <f>(((C14+D14)/((C16+D16)*4))*100)</f>
        <v>24.734584321901888</v>
      </c>
      <c r="D52" s="9">
        <f t="shared" ref="D52:G52" si="6">((D14/(D16*4))*100)</f>
        <v>23.133919843597265</v>
      </c>
      <c r="E52" s="9">
        <f>(((E14+F14)/((E16+F16)*4))*100)</f>
        <v>23.566814936561354</v>
      </c>
      <c r="F52" s="9">
        <f t="shared" si="6"/>
        <v>21.977892756349952</v>
      </c>
      <c r="G52" s="9">
        <f t="shared" si="6"/>
        <v>24.245733788395903</v>
      </c>
      <c r="H52" s="9"/>
      <c r="I52" s="9"/>
      <c r="J52" s="9"/>
    </row>
    <row r="53" spans="1:10" x14ac:dyDescent="0.25">
      <c r="A53" s="19" t="s">
        <v>27</v>
      </c>
      <c r="B53" s="9">
        <f>B21/B22*100</f>
        <v>18.233465740604611</v>
      </c>
      <c r="C53" s="9">
        <f>C21/(C22+D22)*100</f>
        <v>25.188333145672697</v>
      </c>
      <c r="D53" s="9"/>
      <c r="E53" s="9">
        <f>E21/E22*100</f>
        <v>20.548067462706797</v>
      </c>
      <c r="F53" s="9"/>
      <c r="G53" s="9">
        <f>G21/G22*100</f>
        <v>2.1953104287296497</v>
      </c>
      <c r="H53" s="9"/>
      <c r="I53" s="9"/>
      <c r="J53" s="9"/>
    </row>
    <row r="54" spans="1:10" x14ac:dyDescent="0.25">
      <c r="A54" s="19" t="s">
        <v>28</v>
      </c>
      <c r="B54" s="9">
        <f>(B52+B53)/2</f>
        <v>21.434415409984844</v>
      </c>
      <c r="C54" s="9">
        <f t="shared" ref="C54:G54" si="7">(C52+C53)/2</f>
        <v>24.961458733787293</v>
      </c>
      <c r="D54" s="9"/>
      <c r="E54" s="9">
        <f t="shared" si="7"/>
        <v>22.057441199634077</v>
      </c>
      <c r="F54" s="9"/>
      <c r="G54" s="9">
        <f t="shared" si="7"/>
        <v>13.220522108562776</v>
      </c>
      <c r="H54" s="9"/>
      <c r="I54" s="9"/>
      <c r="J54" s="9"/>
    </row>
    <row r="55" spans="1:10" x14ac:dyDescent="0.25">
      <c r="A55" s="19"/>
      <c r="B55" s="9"/>
      <c r="C55" s="9"/>
      <c r="D55" s="9"/>
      <c r="E55" s="9"/>
      <c r="F55" s="9"/>
      <c r="G55" s="9"/>
      <c r="H55" s="9"/>
      <c r="I55" s="9"/>
      <c r="J55" s="9"/>
    </row>
    <row r="56" spans="1:10" x14ac:dyDescent="0.25">
      <c r="A56" s="19" t="s">
        <v>64</v>
      </c>
      <c r="B56" s="19"/>
      <c r="C56" s="19"/>
      <c r="D56" s="19"/>
      <c r="E56" s="19"/>
      <c r="F56" s="19"/>
      <c r="G56" s="19"/>
      <c r="H56" s="19"/>
      <c r="I56" s="19"/>
      <c r="J56" s="19"/>
    </row>
    <row r="57" spans="1:10" x14ac:dyDescent="0.25">
      <c r="A57" s="19" t="s">
        <v>29</v>
      </c>
      <c r="B57" s="9"/>
      <c r="C57" s="9"/>
      <c r="D57" s="9"/>
      <c r="E57" s="9"/>
      <c r="F57" s="9"/>
      <c r="G57" s="9"/>
      <c r="H57" s="9"/>
      <c r="I57" s="9"/>
      <c r="J57" s="9"/>
    </row>
    <row r="58" spans="1:10" x14ac:dyDescent="0.25">
      <c r="A58" s="19"/>
      <c r="B58" s="19"/>
      <c r="C58" s="19"/>
      <c r="D58" s="19"/>
      <c r="E58" s="19"/>
      <c r="F58" s="19"/>
      <c r="G58" s="19"/>
      <c r="H58" s="19"/>
      <c r="I58" s="19"/>
      <c r="J58" s="19"/>
    </row>
    <row r="59" spans="1:10" x14ac:dyDescent="0.25">
      <c r="A59" s="19" t="s">
        <v>30</v>
      </c>
      <c r="B59" s="19"/>
      <c r="C59" s="19"/>
      <c r="D59" s="19"/>
      <c r="E59" s="19"/>
      <c r="F59" s="19"/>
      <c r="G59" s="19"/>
      <c r="H59" s="19"/>
      <c r="I59" s="19"/>
      <c r="J59" s="19"/>
    </row>
    <row r="60" spans="1:10" x14ac:dyDescent="0.25">
      <c r="A60" s="19" t="s">
        <v>31</v>
      </c>
      <c r="B60" s="9">
        <f>((B14/B10)-1)*100</f>
        <v>7.0609270536426294</v>
      </c>
      <c r="C60" s="9">
        <f>((C14/C10)-1)*100</f>
        <v>6.9015557310228681</v>
      </c>
      <c r="D60" s="9"/>
      <c r="E60" s="9">
        <f>((E14/E10)-1)*100</f>
        <v>7.116513273216496</v>
      </c>
      <c r="F60" s="9"/>
      <c r="G60" s="9">
        <f>((G14/G10)-1)*100</f>
        <v>19.334789181925082</v>
      </c>
      <c r="H60" s="9"/>
      <c r="I60" s="9"/>
      <c r="J60" s="9"/>
    </row>
    <row r="61" spans="1:10" x14ac:dyDescent="0.25">
      <c r="A61" s="19" t="s">
        <v>32</v>
      </c>
      <c r="B61" s="9">
        <f>((B36/B35)-1)*100</f>
        <v>25.562605851162502</v>
      </c>
      <c r="C61" s="9">
        <f t="shared" ref="C61:G61" si="8">((C36/C35)-1)*100</f>
        <v>20.285698633735038</v>
      </c>
      <c r="D61" s="9"/>
      <c r="E61" s="9">
        <f t="shared" si="8"/>
        <v>40.513758980635252</v>
      </c>
      <c r="F61" s="9"/>
      <c r="G61" s="9">
        <f t="shared" si="8"/>
        <v>-89.522157780541917</v>
      </c>
      <c r="H61" s="9"/>
      <c r="I61" s="9"/>
      <c r="J61" s="9"/>
    </row>
    <row r="62" spans="1:10" x14ac:dyDescent="0.25">
      <c r="A62" s="19" t="s">
        <v>33</v>
      </c>
      <c r="B62" s="9">
        <f>((B38/B37)-1)*100</f>
        <v>17.281448336655657</v>
      </c>
      <c r="C62" s="9">
        <f t="shared" ref="C62:G62" si="9">((C38/C37)-1)*100</f>
        <v>12.196531047257796</v>
      </c>
      <c r="D62" s="9"/>
      <c r="E62" s="9">
        <f t="shared" si="9"/>
        <v>31.095254286218534</v>
      </c>
      <c r="F62" s="9"/>
      <c r="G62" s="9">
        <f t="shared" si="9"/>
        <v>-91.219792408159634</v>
      </c>
      <c r="H62" s="9"/>
      <c r="I62" s="9"/>
      <c r="J62" s="9"/>
    </row>
    <row r="63" spans="1:10" x14ac:dyDescent="0.25">
      <c r="A63" s="19"/>
      <c r="B63" s="9"/>
      <c r="C63" s="9"/>
      <c r="D63" s="9"/>
      <c r="E63" s="9"/>
      <c r="F63" s="9"/>
      <c r="G63" s="9"/>
      <c r="H63" s="9"/>
      <c r="I63" s="9"/>
      <c r="J63" s="9"/>
    </row>
    <row r="64" spans="1:10" x14ac:dyDescent="0.25">
      <c r="A64" s="19" t="s">
        <v>34</v>
      </c>
      <c r="B64" s="19"/>
      <c r="C64" s="19"/>
      <c r="D64" s="19"/>
      <c r="E64" s="19"/>
      <c r="F64" s="19"/>
      <c r="G64" s="19"/>
      <c r="H64" s="19"/>
      <c r="I64" s="19"/>
      <c r="J64" s="19"/>
    </row>
    <row r="65" spans="1:10" x14ac:dyDescent="0.25">
      <c r="A65" s="19" t="s">
        <v>70</v>
      </c>
      <c r="B65" s="5">
        <f>B20/(B12*3)</f>
        <v>9248.1344634294728</v>
      </c>
      <c r="C65" s="5">
        <f>(C20+D20)/((C12+D12)*3)</f>
        <v>11118.769694937982</v>
      </c>
      <c r="D65" s="5"/>
      <c r="E65" s="5">
        <f t="shared" ref="E65:G65" si="10">E20/(E12*3)</f>
        <v>5716.7357021582457</v>
      </c>
      <c r="F65" s="5"/>
      <c r="G65" s="5">
        <f t="shared" si="10"/>
        <v>12998.748577929466</v>
      </c>
      <c r="H65" s="5"/>
      <c r="I65" s="5"/>
      <c r="J65" s="5"/>
    </row>
    <row r="66" spans="1:10" x14ac:dyDescent="0.25">
      <c r="A66" s="19" t="s">
        <v>71</v>
      </c>
      <c r="B66" s="5">
        <f>B21/(B14*3)</f>
        <v>8571.9054810866819</v>
      </c>
      <c r="C66" s="5">
        <f>C21/((C14+D14)*3)</f>
        <v>11140.799018182992</v>
      </c>
      <c r="D66" s="5"/>
      <c r="E66" s="5">
        <f t="shared" ref="E66:G66" si="11">E21/(E14*3)</f>
        <v>5020.6976558347033</v>
      </c>
      <c r="F66" s="5"/>
      <c r="G66" s="5">
        <f t="shared" si="11"/>
        <v>1795.0103228228229</v>
      </c>
      <c r="H66" s="5"/>
      <c r="I66" s="5"/>
      <c r="J66" s="5"/>
    </row>
    <row r="67" spans="1:10" x14ac:dyDescent="0.25">
      <c r="A67" s="19" t="s">
        <v>37</v>
      </c>
      <c r="B67" s="9">
        <f>(B65/B66)*B49</f>
        <v>96.596524385866715</v>
      </c>
      <c r="C67" s="9">
        <f>(C65/C66)*C49</f>
        <v>92.142052349818599</v>
      </c>
      <c r="D67" s="9"/>
      <c r="E67" s="9">
        <f>(E65/E66)*E49</f>
        <v>99.647042850793795</v>
      </c>
      <c r="F67" s="9"/>
      <c r="G67" s="9">
        <f>(G65/G66)*G49</f>
        <v>399.64732846024594</v>
      </c>
      <c r="H67" s="9"/>
      <c r="I67" s="9"/>
      <c r="J67" s="9"/>
    </row>
    <row r="68" spans="1:10" x14ac:dyDescent="0.25">
      <c r="A68" s="19" t="s">
        <v>63</v>
      </c>
      <c r="B68" s="17">
        <f>B20/B12</f>
        <v>27744.403390288415</v>
      </c>
      <c r="C68" s="17">
        <f>(C20+D20)/(C12+D12)</f>
        <v>33356.309084813947</v>
      </c>
      <c r="D68" s="17"/>
      <c r="E68" s="17">
        <f t="shared" ref="E68:G68" si="12">E20/E12</f>
        <v>17150.207106474736</v>
      </c>
      <c r="F68" s="17"/>
      <c r="G68" s="17">
        <f t="shared" si="12"/>
        <v>38996.245733788397</v>
      </c>
      <c r="H68" s="17"/>
      <c r="I68" s="17"/>
      <c r="J68" s="17"/>
    </row>
    <row r="69" spans="1:10" x14ac:dyDescent="0.25">
      <c r="A69" s="19" t="s">
        <v>62</v>
      </c>
      <c r="B69" s="9">
        <f>B21/B14</f>
        <v>25715.716443260048</v>
      </c>
      <c r="C69" s="9">
        <f>C21/(C14+D14)</f>
        <v>33422.397054548979</v>
      </c>
      <c r="D69" s="9"/>
      <c r="E69" s="9">
        <f t="shared" ref="E69:G69" si="13">E21/E14</f>
        <v>15062.09296750411</v>
      </c>
      <c r="F69" s="9"/>
      <c r="G69" s="9">
        <f t="shared" si="13"/>
        <v>5385.030968468468</v>
      </c>
      <c r="H69" s="9"/>
      <c r="I69" s="9"/>
      <c r="J69" s="9"/>
    </row>
    <row r="70" spans="1:10" x14ac:dyDescent="0.25">
      <c r="A70" s="19"/>
      <c r="B70" s="9"/>
      <c r="C70" s="9"/>
      <c r="D70" s="9"/>
      <c r="E70" s="9"/>
      <c r="F70" s="9"/>
      <c r="G70" s="9"/>
      <c r="H70" s="9"/>
      <c r="I70" s="9"/>
      <c r="J70" s="9"/>
    </row>
    <row r="71" spans="1:10" x14ac:dyDescent="0.25">
      <c r="A71" s="19" t="s">
        <v>38</v>
      </c>
      <c r="B71" s="9"/>
      <c r="C71" s="9"/>
      <c r="D71" s="9"/>
      <c r="E71" s="9"/>
      <c r="F71" s="9"/>
      <c r="G71" s="9"/>
      <c r="H71" s="9"/>
      <c r="I71" s="9"/>
      <c r="J71" s="9"/>
    </row>
    <row r="72" spans="1:10" x14ac:dyDescent="0.25">
      <c r="A72" s="19" t="s">
        <v>39</v>
      </c>
      <c r="B72" s="9">
        <f>(B27/B26)*100</f>
        <v>91.373728998888552</v>
      </c>
      <c r="C72" s="9"/>
      <c r="D72" s="9"/>
      <c r="E72" s="9"/>
      <c r="F72" s="9"/>
      <c r="G72" s="9"/>
      <c r="H72" s="9"/>
      <c r="I72" s="9"/>
      <c r="J72" s="9"/>
    </row>
    <row r="73" spans="1:10" x14ac:dyDescent="0.25">
      <c r="A73" s="19" t="s">
        <v>40</v>
      </c>
      <c r="B73" s="9">
        <f>(B21/B27)*100</f>
        <v>94.267520828523118</v>
      </c>
      <c r="C73" s="9"/>
      <c r="D73" s="9"/>
      <c r="E73" s="9"/>
      <c r="F73" s="9"/>
      <c r="G73" s="9"/>
      <c r="H73" s="9"/>
      <c r="I73" s="9"/>
      <c r="J73" s="9"/>
    </row>
    <row r="74" spans="1:10" ht="15.75" thickBot="1" x14ac:dyDescent="0.3">
      <c r="A74" s="36"/>
      <c r="B74" s="36"/>
      <c r="C74" s="36"/>
      <c r="D74" s="36"/>
      <c r="E74" s="36"/>
      <c r="F74" s="36"/>
      <c r="G74" s="36"/>
      <c r="H74" s="36"/>
      <c r="I74" s="36"/>
      <c r="J74" s="36"/>
    </row>
    <row r="75" spans="1:10" ht="15.75" thickTop="1" x14ac:dyDescent="0.25">
      <c r="A75" s="20" t="s">
        <v>90</v>
      </c>
      <c r="B75" s="19"/>
      <c r="C75" s="19"/>
      <c r="D75" s="19"/>
      <c r="E75" s="19"/>
      <c r="F75" s="19"/>
      <c r="G75" s="19"/>
      <c r="H75" s="19"/>
      <c r="I75" s="19"/>
      <c r="J75" s="19"/>
    </row>
    <row r="76" spans="1:10" x14ac:dyDescent="0.25">
      <c r="A76" s="19" t="s">
        <v>128</v>
      </c>
      <c r="B76" s="19"/>
      <c r="C76" s="19"/>
      <c r="D76" s="19"/>
      <c r="E76" s="19"/>
      <c r="F76" s="19"/>
      <c r="G76" s="19"/>
      <c r="H76" s="19"/>
      <c r="I76" s="19"/>
      <c r="J76" s="19"/>
    </row>
    <row r="77" spans="1:10" x14ac:dyDescent="0.25">
      <c r="A77" t="s">
        <v>91</v>
      </c>
    </row>
    <row r="78" spans="1:10" x14ac:dyDescent="0.25">
      <c r="A78" t="s">
        <v>67</v>
      </c>
      <c r="B78" s="11"/>
      <c r="C78" s="11"/>
      <c r="D78" s="11"/>
      <c r="E78" s="11"/>
      <c r="F78" s="11"/>
    </row>
    <row r="79" spans="1:10" x14ac:dyDescent="0.25">
      <c r="A79" t="s">
        <v>80</v>
      </c>
    </row>
    <row r="80" spans="1:10" x14ac:dyDescent="0.25">
      <c r="A80" t="s">
        <v>76</v>
      </c>
    </row>
    <row r="81" spans="1:1" x14ac:dyDescent="0.25">
      <c r="A81" t="s">
        <v>75</v>
      </c>
    </row>
  </sheetData>
  <mergeCells count="13">
    <mergeCell ref="J4:J5"/>
    <mergeCell ref="I4:I5"/>
    <mergeCell ref="E20:F20"/>
    <mergeCell ref="E22:F22"/>
    <mergeCell ref="A2:G2"/>
    <mergeCell ref="A4:A5"/>
    <mergeCell ref="C5:D5"/>
    <mergeCell ref="E5:F5"/>
    <mergeCell ref="C4:H4"/>
    <mergeCell ref="C19:D19"/>
    <mergeCell ref="E19:F19"/>
    <mergeCell ref="C21:D21"/>
    <mergeCell ref="E21:F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1"/>
  <sheetViews>
    <sheetView topLeftCell="E37" zoomScale="90" zoomScaleNormal="90" workbookViewId="0">
      <selection activeCell="C75" sqref="C75"/>
    </sheetView>
  </sheetViews>
  <sheetFormatPr baseColWidth="10" defaultColWidth="11.42578125" defaultRowHeight="15" x14ac:dyDescent="0.25"/>
  <cols>
    <col min="1" max="1" width="55.140625" customWidth="1"/>
    <col min="2" max="2" width="19.7109375" bestFit="1" customWidth="1"/>
    <col min="3" max="4" width="16.5703125" customWidth="1"/>
    <col min="5" max="6" width="17.42578125" customWidth="1"/>
    <col min="7" max="7" width="18.5703125" customWidth="1"/>
    <col min="8" max="8" width="13.85546875" bestFit="1" customWidth="1"/>
    <col min="9" max="9" width="13.85546875" customWidth="1"/>
    <col min="10" max="10" width="16.28515625" bestFit="1" customWidth="1"/>
  </cols>
  <sheetData>
    <row r="2" spans="1:10" ht="15.75" x14ac:dyDescent="0.25">
      <c r="A2" s="47" t="s">
        <v>99</v>
      </c>
      <c r="B2" s="47"/>
      <c r="C2" s="47"/>
      <c r="D2" s="47"/>
      <c r="E2" s="47"/>
      <c r="F2" s="47"/>
      <c r="G2" s="47"/>
    </row>
    <row r="4" spans="1:10" x14ac:dyDescent="0.25">
      <c r="A4" s="45" t="s">
        <v>0</v>
      </c>
      <c r="B4" s="14" t="s">
        <v>1</v>
      </c>
      <c r="C4" s="49" t="s">
        <v>2</v>
      </c>
      <c r="D4" s="49"/>
      <c r="E4" s="49"/>
      <c r="F4" s="49"/>
      <c r="G4" s="49"/>
      <c r="H4" s="49"/>
      <c r="I4" s="45" t="s">
        <v>130</v>
      </c>
      <c r="J4" s="45" t="s">
        <v>77</v>
      </c>
    </row>
    <row r="5" spans="1:10" ht="15.75" thickBot="1" x14ac:dyDescent="0.3">
      <c r="A5" s="46"/>
      <c r="B5" s="1" t="s">
        <v>3</v>
      </c>
      <c r="C5" s="48" t="s">
        <v>4</v>
      </c>
      <c r="D5" s="48"/>
      <c r="E5" s="48" t="s">
        <v>79</v>
      </c>
      <c r="F5" s="48"/>
      <c r="G5" s="1" t="s">
        <v>5</v>
      </c>
      <c r="H5" s="10" t="s">
        <v>78</v>
      </c>
      <c r="I5" s="46"/>
      <c r="J5" s="46"/>
    </row>
    <row r="6" spans="1:10" ht="15.75" thickTop="1" x14ac:dyDescent="0.25">
      <c r="B6" t="s">
        <v>1</v>
      </c>
      <c r="C6" s="22" t="s">
        <v>72</v>
      </c>
      <c r="D6" s="22" t="s">
        <v>73</v>
      </c>
      <c r="E6" s="22">
        <v>1600</v>
      </c>
      <c r="F6" s="22" t="s">
        <v>74</v>
      </c>
      <c r="G6" s="22" t="s">
        <v>5</v>
      </c>
    </row>
    <row r="7" spans="1:10" x14ac:dyDescent="0.25">
      <c r="A7" s="2" t="s">
        <v>6</v>
      </c>
    </row>
    <row r="9" spans="1:10" x14ac:dyDescent="0.25">
      <c r="A9" t="s">
        <v>7</v>
      </c>
    </row>
    <row r="10" spans="1:10" x14ac:dyDescent="0.25">
      <c r="A10" s="3" t="s">
        <v>45</v>
      </c>
      <c r="B10" s="13">
        <f>+C10+E10</f>
        <v>119781</v>
      </c>
      <c r="C10" s="13">
        <v>26975.333333333332</v>
      </c>
      <c r="D10" s="13">
        <v>6907</v>
      </c>
      <c r="E10" s="13">
        <v>92805.666666666672</v>
      </c>
      <c r="F10" s="13">
        <v>41503</v>
      </c>
      <c r="G10" s="13">
        <v>6997.333333333333</v>
      </c>
      <c r="H10" s="23">
        <v>20023</v>
      </c>
      <c r="I10" s="23"/>
      <c r="J10" t="s">
        <v>129</v>
      </c>
    </row>
    <row r="11" spans="1:10" x14ac:dyDescent="0.25">
      <c r="A11" s="16" t="s">
        <v>61</v>
      </c>
      <c r="B11" s="13">
        <f t="shared" ref="B11:B15" si="0">+C11+E11</f>
        <v>99881</v>
      </c>
      <c r="C11" s="13">
        <v>21841.666666666668</v>
      </c>
      <c r="D11" s="13">
        <v>6907</v>
      </c>
      <c r="E11" s="13">
        <v>78039.333333333328</v>
      </c>
      <c r="F11" s="13">
        <v>41503</v>
      </c>
      <c r="G11" s="13">
        <v>6997.333333333333</v>
      </c>
      <c r="J11" t="s">
        <v>129</v>
      </c>
    </row>
    <row r="12" spans="1:10" x14ac:dyDescent="0.25">
      <c r="A12" s="3" t="s">
        <v>100</v>
      </c>
      <c r="B12" s="13">
        <f t="shared" si="0"/>
        <v>133139</v>
      </c>
      <c r="C12" s="13">
        <f>253+24389+3058+2485</f>
        <v>30185</v>
      </c>
      <c r="D12" s="13">
        <v>8525</v>
      </c>
      <c r="E12" s="13">
        <v>102954</v>
      </c>
      <c r="F12" s="13">
        <f>25862+24388</f>
        <v>50250</v>
      </c>
      <c r="G12" s="4">
        <v>7325</v>
      </c>
      <c r="J12" t="s">
        <v>129</v>
      </c>
    </row>
    <row r="13" spans="1:10" x14ac:dyDescent="0.25">
      <c r="A13" s="16" t="s">
        <v>61</v>
      </c>
      <c r="B13" s="13">
        <f t="shared" si="0"/>
        <v>127343</v>
      </c>
      <c r="C13" s="13">
        <v>24389</v>
      </c>
      <c r="D13" s="13">
        <v>8525</v>
      </c>
      <c r="E13" s="13">
        <v>102954</v>
      </c>
      <c r="F13" s="13">
        <v>50250</v>
      </c>
      <c r="G13" s="4">
        <v>7325</v>
      </c>
      <c r="J13" t="s">
        <v>129</v>
      </c>
    </row>
    <row r="14" spans="1:10" x14ac:dyDescent="0.25">
      <c r="A14" s="3" t="s">
        <v>101</v>
      </c>
      <c r="B14" s="13">
        <f t="shared" si="0"/>
        <v>131174.66666666666</v>
      </c>
      <c r="C14" s="23">
        <v>33958.333333333336</v>
      </c>
      <c r="D14" s="23">
        <v>6899.666666666667</v>
      </c>
      <c r="E14" s="23">
        <v>97216.333333333328</v>
      </c>
      <c r="F14" s="23">
        <v>49377</v>
      </c>
      <c r="G14" s="13">
        <v>7205.333333333333</v>
      </c>
      <c r="H14" s="13">
        <v>1984</v>
      </c>
      <c r="I14" s="13"/>
      <c r="J14" t="s">
        <v>129</v>
      </c>
    </row>
    <row r="15" spans="1:10" x14ac:dyDescent="0.25">
      <c r="A15" s="16" t="s">
        <v>61</v>
      </c>
      <c r="B15" s="13">
        <f t="shared" si="0"/>
        <v>107902</v>
      </c>
      <c r="C15" s="23">
        <v>27895.666666666668</v>
      </c>
      <c r="D15" s="23">
        <v>6899.666666666667</v>
      </c>
      <c r="E15" s="23">
        <v>80006.333333333328</v>
      </c>
      <c r="F15" s="23">
        <v>49377</v>
      </c>
      <c r="G15" s="13">
        <v>7205.333333333333</v>
      </c>
      <c r="H15" s="13">
        <v>1984</v>
      </c>
      <c r="I15" s="13"/>
      <c r="J15" t="s">
        <v>129</v>
      </c>
    </row>
    <row r="16" spans="1:10" x14ac:dyDescent="0.25">
      <c r="A16" s="3" t="s">
        <v>85</v>
      </c>
      <c r="B16" s="13">
        <f>+C16+E16</f>
        <v>131250</v>
      </c>
      <c r="C16" s="4">
        <f>278+26827+3363+2734</f>
        <v>33202</v>
      </c>
      <c r="D16" s="5">
        <v>8525</v>
      </c>
      <c r="E16" s="5">
        <v>98048</v>
      </c>
      <c r="F16" s="23">
        <f>28449+26827</f>
        <v>55276</v>
      </c>
      <c r="G16" s="4">
        <v>7325</v>
      </c>
      <c r="J16" t="s">
        <v>132</v>
      </c>
    </row>
    <row r="17" spans="1:11" x14ac:dyDescent="0.25">
      <c r="B17" s="12"/>
      <c r="C17" s="12"/>
      <c r="D17" s="12"/>
      <c r="E17" s="12"/>
      <c r="F17" s="12"/>
      <c r="G17" s="12"/>
    </row>
    <row r="18" spans="1:11" x14ac:dyDescent="0.25">
      <c r="A18" s="6" t="s">
        <v>9</v>
      </c>
      <c r="B18" s="12"/>
      <c r="C18" s="12"/>
      <c r="D18" s="12"/>
      <c r="E18" s="12"/>
      <c r="F18" s="12"/>
      <c r="G18" s="12"/>
    </row>
    <row r="19" spans="1:11" x14ac:dyDescent="0.25">
      <c r="A19" s="3" t="s">
        <v>45</v>
      </c>
      <c r="B19" s="12">
        <f>SUM(C19:J19)</f>
        <v>2226736867.0700002</v>
      </c>
      <c r="C19" s="57">
        <v>622485850</v>
      </c>
      <c r="D19" s="57"/>
      <c r="E19" s="56">
        <v>1241302300</v>
      </c>
      <c r="F19" s="56"/>
      <c r="G19" s="13">
        <v>283615950</v>
      </c>
      <c r="H19">
        <v>0</v>
      </c>
      <c r="J19" s="13">
        <v>79332767.069999993</v>
      </c>
    </row>
    <row r="20" spans="1:11" x14ac:dyDescent="0.25">
      <c r="A20" s="3" t="s">
        <v>100</v>
      </c>
      <c r="B20" s="12">
        <f t="shared" ref="B20:B23" si="1">SUM(C20:J20)</f>
        <v>3546604738</v>
      </c>
      <c r="C20" s="27">
        <v>1230330700</v>
      </c>
      <c r="D20" s="27">
        <v>16112250</v>
      </c>
      <c r="E20" s="56">
        <f>(627708016*2)+559098256</f>
        <v>1814514288</v>
      </c>
      <c r="F20" s="56"/>
      <c r="G20" s="4">
        <f>161882500*3</f>
        <v>485647500</v>
      </c>
      <c r="H20" s="5"/>
      <c r="I20" s="5">
        <v>0</v>
      </c>
      <c r="J20" s="19"/>
      <c r="K20" s="24"/>
    </row>
    <row r="21" spans="1:11" x14ac:dyDescent="0.25">
      <c r="A21" s="3" t="s">
        <v>101</v>
      </c>
      <c r="B21" s="12">
        <f t="shared" si="1"/>
        <v>4097838760</v>
      </c>
      <c r="C21" s="56">
        <v>940448530</v>
      </c>
      <c r="D21" s="56"/>
      <c r="E21" s="56">
        <v>1706378760</v>
      </c>
      <c r="F21" s="56"/>
      <c r="G21" s="13">
        <v>860079800</v>
      </c>
      <c r="H21" s="5">
        <v>214968010</v>
      </c>
      <c r="I21" s="5">
        <v>111598920</v>
      </c>
      <c r="J21" s="25">
        <v>264364740</v>
      </c>
      <c r="K21" s="19"/>
    </row>
    <row r="22" spans="1:11" x14ac:dyDescent="0.25">
      <c r="A22" s="3" t="s">
        <v>85</v>
      </c>
      <c r="B22" s="12">
        <f t="shared" si="1"/>
        <v>18240960754.889999</v>
      </c>
      <c r="C22" s="27">
        <v>5413524600</v>
      </c>
      <c r="D22" s="27">
        <v>64449000</v>
      </c>
      <c r="E22" s="56">
        <v>7032594294.4399996</v>
      </c>
      <c r="F22" s="56"/>
      <c r="G22" s="13">
        <v>1742590000</v>
      </c>
      <c r="H22" s="19"/>
      <c r="I22" s="13">
        <v>317441625.56</v>
      </c>
      <c r="J22" s="13">
        <v>3670361234.8899999</v>
      </c>
      <c r="K22" s="24"/>
    </row>
    <row r="23" spans="1:11" x14ac:dyDescent="0.25">
      <c r="A23" s="3" t="s">
        <v>102</v>
      </c>
      <c r="B23" s="4">
        <f t="shared" si="1"/>
        <v>0</v>
      </c>
      <c r="C23" s="27"/>
      <c r="D23" s="27"/>
      <c r="E23" s="27"/>
      <c r="F23" s="27"/>
      <c r="G23" s="13"/>
    </row>
    <row r="24" spans="1:11" x14ac:dyDescent="0.25">
      <c r="B24" s="12"/>
      <c r="C24" s="12"/>
      <c r="D24" s="12"/>
      <c r="E24" s="12"/>
      <c r="F24" s="12"/>
      <c r="G24" s="12"/>
    </row>
    <row r="25" spans="1:11" x14ac:dyDescent="0.25">
      <c r="A25" s="29" t="s">
        <v>10</v>
      </c>
      <c r="B25" s="25"/>
      <c r="C25" s="25"/>
      <c r="D25" s="25"/>
      <c r="E25" s="25"/>
      <c r="F25" s="25"/>
      <c r="G25" s="25"/>
      <c r="H25" s="25"/>
      <c r="I25" s="25"/>
      <c r="J25" s="25"/>
    </row>
    <row r="26" spans="1:11" x14ac:dyDescent="0.25">
      <c r="A26" s="30" t="s">
        <v>100</v>
      </c>
      <c r="B26" s="25">
        <f>B20</f>
        <v>3546604738</v>
      </c>
      <c r="C26" s="25"/>
      <c r="D26" s="25"/>
      <c r="E26" s="25"/>
      <c r="F26" s="25"/>
      <c r="G26" s="25"/>
      <c r="H26" s="25"/>
      <c r="I26" s="25"/>
      <c r="J26" s="25"/>
    </row>
    <row r="27" spans="1:11" x14ac:dyDescent="0.25">
      <c r="A27" s="30" t="s">
        <v>101</v>
      </c>
      <c r="B27" s="25">
        <v>4318718820</v>
      </c>
      <c r="C27" s="25"/>
      <c r="D27" s="25"/>
      <c r="E27" s="25"/>
      <c r="F27" s="25"/>
      <c r="G27" s="25"/>
      <c r="H27" s="25"/>
      <c r="I27" s="25"/>
      <c r="J27" s="25"/>
    </row>
    <row r="29" spans="1:11" x14ac:dyDescent="0.25">
      <c r="A29" t="s">
        <v>11</v>
      </c>
    </row>
    <row r="30" spans="1:11" x14ac:dyDescent="0.25">
      <c r="A30" s="30" t="s">
        <v>46</v>
      </c>
      <c r="B30" s="31">
        <v>1.4773597119666666</v>
      </c>
      <c r="C30" s="31">
        <v>1.4773597119666666</v>
      </c>
      <c r="D30" s="31">
        <v>1.4773597119666666</v>
      </c>
      <c r="E30" s="31">
        <v>1.4773597119666666</v>
      </c>
      <c r="F30" s="31">
        <v>1.4773597119666666</v>
      </c>
      <c r="G30" s="31">
        <v>1.4773597119666666</v>
      </c>
      <c r="H30" s="31">
        <v>1.4773597119666666</v>
      </c>
      <c r="I30" s="31"/>
      <c r="J30" s="31">
        <v>1.4773597119666666</v>
      </c>
    </row>
    <row r="31" spans="1:11" x14ac:dyDescent="0.25">
      <c r="A31" s="30" t="s">
        <v>103</v>
      </c>
      <c r="B31" s="31">
        <v>1.5396358920333333</v>
      </c>
      <c r="C31" s="31">
        <v>1.5396358920333333</v>
      </c>
      <c r="D31" s="31">
        <v>1.5396358920333333</v>
      </c>
      <c r="E31" s="31">
        <v>1.5396358920333333</v>
      </c>
      <c r="F31" s="31">
        <v>1.5396358920333333</v>
      </c>
      <c r="G31" s="31">
        <v>1.5396358920333333</v>
      </c>
      <c r="H31" s="31">
        <v>1.5396358920333333</v>
      </c>
      <c r="I31" s="31"/>
      <c r="J31" s="31">
        <v>1.5396358920333333</v>
      </c>
    </row>
    <row r="32" spans="1:11" x14ac:dyDescent="0.25">
      <c r="A32" s="3" t="s">
        <v>13</v>
      </c>
      <c r="B32" s="4">
        <v>73492</v>
      </c>
      <c r="C32" s="4"/>
      <c r="D32" s="4"/>
      <c r="E32" s="4"/>
      <c r="F32" s="4"/>
      <c r="G32" s="4"/>
      <c r="H32" s="4"/>
      <c r="I32" s="4"/>
      <c r="J32" s="4"/>
    </row>
    <row r="34" spans="1:10" x14ac:dyDescent="0.25">
      <c r="A34" s="32" t="s">
        <v>14</v>
      </c>
      <c r="B34" s="19"/>
      <c r="C34" s="19"/>
      <c r="D34" s="19"/>
      <c r="E34" s="19"/>
      <c r="F34" s="19"/>
      <c r="G34" s="19"/>
      <c r="H34" s="19"/>
      <c r="I34" s="19"/>
      <c r="J34" s="19"/>
    </row>
    <row r="35" spans="1:10" x14ac:dyDescent="0.25">
      <c r="A35" s="19" t="s">
        <v>47</v>
      </c>
      <c r="B35" s="5">
        <f>B19/B30</f>
        <v>1507240822.2813656</v>
      </c>
      <c r="C35" s="5">
        <f t="shared" ref="C35:G35" si="2">C19/C30</f>
        <v>421350227.00148267</v>
      </c>
      <c r="D35" s="5"/>
      <c r="E35" s="5">
        <f t="shared" si="2"/>
        <v>840216698.71285033</v>
      </c>
      <c r="F35" s="5"/>
      <c r="G35" s="5">
        <f t="shared" si="2"/>
        <v>191974877.68395242</v>
      </c>
      <c r="H35" s="5"/>
      <c r="I35" s="5"/>
      <c r="J35" s="5"/>
    </row>
    <row r="36" spans="1:10" x14ac:dyDescent="0.25">
      <c r="A36" s="19" t="s">
        <v>104</v>
      </c>
      <c r="B36" s="5">
        <f>B21/B31</f>
        <v>2661563543.1752338</v>
      </c>
      <c r="C36" s="5">
        <f t="shared" ref="C36:G36" si="3">C21/C31</f>
        <v>610825283.34539449</v>
      </c>
      <c r="D36" s="5"/>
      <c r="E36" s="5">
        <f t="shared" si="3"/>
        <v>1108300195.4094849</v>
      </c>
      <c r="F36" s="5"/>
      <c r="G36" s="5">
        <f t="shared" si="3"/>
        <v>558625454.53141415</v>
      </c>
      <c r="H36" s="5"/>
      <c r="I36" s="5"/>
      <c r="J36" s="5"/>
    </row>
    <row r="37" spans="1:10" x14ac:dyDescent="0.25">
      <c r="A37" s="19" t="s">
        <v>48</v>
      </c>
      <c r="B37" s="5">
        <f>B35/B10</f>
        <v>12583.304716786182</v>
      </c>
      <c r="C37" s="5">
        <f>C35/(C10+D10)</f>
        <v>12435.690979610301</v>
      </c>
      <c r="D37" s="5"/>
      <c r="E37" s="5">
        <f>E35/(E10+F10)</f>
        <v>6255.8635981260841</v>
      </c>
      <c r="F37" s="5"/>
      <c r="G37" s="5">
        <f>G35/G10</f>
        <v>27435.434120229482</v>
      </c>
      <c r="H37" s="5"/>
      <c r="I37" s="5"/>
      <c r="J37" s="5"/>
    </row>
    <row r="38" spans="1:10" x14ac:dyDescent="0.25">
      <c r="A38" s="19" t="s">
        <v>105</v>
      </c>
      <c r="B38" s="5">
        <f>B36/B14</f>
        <v>20290.225321773774</v>
      </c>
      <c r="C38" s="5">
        <f>C36/(C14+D14)</f>
        <v>14949.955537358523</v>
      </c>
      <c r="D38" s="5"/>
      <c r="E38" s="5">
        <f>E36/(E14+F14)</f>
        <v>7560.3724276421281</v>
      </c>
      <c r="F38" s="5"/>
      <c r="G38" s="33">
        <f>G36/G14</f>
        <v>77529.439470496043</v>
      </c>
      <c r="H38" s="33"/>
      <c r="I38" s="33"/>
      <c r="J38" s="33"/>
    </row>
    <row r="40" spans="1:10" x14ac:dyDescent="0.25">
      <c r="A40" s="2" t="s">
        <v>17</v>
      </c>
    </row>
    <row r="42" spans="1:10" x14ac:dyDescent="0.25">
      <c r="A42" t="s">
        <v>18</v>
      </c>
    </row>
    <row r="43" spans="1:10" x14ac:dyDescent="0.25">
      <c r="A43" t="s">
        <v>19</v>
      </c>
      <c r="B43" s="9">
        <f>(B13/B32)*100</f>
        <v>173.27464213791976</v>
      </c>
      <c r="C43" s="9" t="e">
        <f t="shared" ref="C43:G43" si="4">(C13/C32)*100</f>
        <v>#DIV/0!</v>
      </c>
      <c r="D43" s="9" t="e">
        <f t="shared" si="4"/>
        <v>#DIV/0!</v>
      </c>
      <c r="E43" s="9" t="e">
        <f t="shared" si="4"/>
        <v>#DIV/0!</v>
      </c>
      <c r="F43" s="9" t="e">
        <f t="shared" si="4"/>
        <v>#DIV/0!</v>
      </c>
      <c r="G43" s="9" t="e">
        <f t="shared" si="4"/>
        <v>#DIV/0!</v>
      </c>
      <c r="H43" s="9"/>
      <c r="I43" s="9"/>
      <c r="J43" s="9"/>
    </row>
    <row r="44" spans="1:10" x14ac:dyDescent="0.25">
      <c r="A44" t="s">
        <v>20</v>
      </c>
      <c r="B44" s="9">
        <f>(B15/B32)*100</f>
        <v>146.82142273989004</v>
      </c>
      <c r="C44" s="9" t="e">
        <f t="shared" ref="C44:G44" si="5">(C15/C32)*100</f>
        <v>#DIV/0!</v>
      </c>
      <c r="D44" s="9" t="e">
        <f t="shared" si="5"/>
        <v>#DIV/0!</v>
      </c>
      <c r="E44" s="9" t="e">
        <f t="shared" si="5"/>
        <v>#DIV/0!</v>
      </c>
      <c r="F44" s="9" t="e">
        <f t="shared" si="5"/>
        <v>#DIV/0!</v>
      </c>
      <c r="G44" s="9" t="e">
        <f t="shared" si="5"/>
        <v>#DIV/0!</v>
      </c>
      <c r="H44" s="9"/>
      <c r="I44" s="9"/>
      <c r="J44" s="9"/>
    </row>
    <row r="46" spans="1:10" x14ac:dyDescent="0.25">
      <c r="A46" t="s">
        <v>21</v>
      </c>
    </row>
    <row r="47" spans="1:10" x14ac:dyDescent="0.25">
      <c r="A47" t="s">
        <v>22</v>
      </c>
      <c r="B47" s="8">
        <f>B14/B12*100</f>
        <v>98.524599603922709</v>
      </c>
      <c r="C47" s="8">
        <f>C14/C12*100</f>
        <v>112.50069018828337</v>
      </c>
      <c r="D47" s="8"/>
      <c r="E47" s="8">
        <f>E14/E12*100</f>
        <v>94.42696090810783</v>
      </c>
      <c r="F47" s="8"/>
      <c r="G47" s="8">
        <f>G14/G12*100</f>
        <v>98.366325369738334</v>
      </c>
      <c r="H47" s="8"/>
      <c r="I47" s="8"/>
      <c r="J47" s="8"/>
    </row>
    <row r="48" spans="1:10" x14ac:dyDescent="0.25">
      <c r="A48" t="s">
        <v>23</v>
      </c>
      <c r="B48" s="8">
        <f>B21/B20*100</f>
        <v>115.54258404083822</v>
      </c>
      <c r="C48" s="8">
        <f>C21/(C20+D20)*100</f>
        <v>75.450587610126888</v>
      </c>
      <c r="D48" s="8"/>
      <c r="E48" s="8">
        <f>E21/E20*100</f>
        <v>94.040524854770396</v>
      </c>
      <c r="F48" s="8"/>
      <c r="G48" s="8">
        <f>G21/G20*100</f>
        <v>177.09960413674528</v>
      </c>
      <c r="H48" s="8"/>
      <c r="I48" s="8"/>
      <c r="J48" s="8"/>
    </row>
    <row r="49" spans="1:10" x14ac:dyDescent="0.25">
      <c r="A49" s="19" t="s">
        <v>24</v>
      </c>
      <c r="B49" s="9">
        <f>AVERAGE(B47:B48)</f>
        <v>107.03359182238046</v>
      </c>
      <c r="C49" s="9">
        <f t="shared" ref="C49:G49" si="6">AVERAGE(C47:C48)</f>
        <v>93.975638899205137</v>
      </c>
      <c r="D49" s="9"/>
      <c r="E49" s="9">
        <f t="shared" si="6"/>
        <v>94.233742881439113</v>
      </c>
      <c r="F49" s="9"/>
      <c r="G49" s="9">
        <f t="shared" si="6"/>
        <v>137.73296475324182</v>
      </c>
      <c r="H49" s="9"/>
      <c r="I49" s="9"/>
      <c r="J49" s="9"/>
    </row>
    <row r="50" spans="1:10" x14ac:dyDescent="0.25">
      <c r="B50" s="8"/>
      <c r="C50" s="8"/>
      <c r="D50" s="8"/>
      <c r="E50" s="8"/>
      <c r="F50" s="8"/>
      <c r="G50" s="8"/>
      <c r="H50" s="8"/>
      <c r="I50" s="8"/>
      <c r="J50" s="8"/>
    </row>
    <row r="51" spans="1:10" x14ac:dyDescent="0.25">
      <c r="A51" t="s">
        <v>25</v>
      </c>
    </row>
    <row r="52" spans="1:10" x14ac:dyDescent="0.25">
      <c r="A52" t="s">
        <v>26</v>
      </c>
      <c r="B52" s="8">
        <f>((B14/(B16*4))*100)</f>
        <v>24.985650793650791</v>
      </c>
      <c r="C52" s="8">
        <f>(((C14+D14)/((C16+D16)*4))*100)</f>
        <v>24.479353895559232</v>
      </c>
      <c r="D52" s="8">
        <f t="shared" ref="D52:G52" si="7">((D14/(D16*4))*100)</f>
        <v>20.233626588465299</v>
      </c>
      <c r="E52" s="8">
        <f>(((E14+F14)/((E16+F16)*4))*100)</f>
        <v>23.902541893854405</v>
      </c>
      <c r="F52" s="8">
        <f t="shared" si="7"/>
        <v>22.332024748534625</v>
      </c>
      <c r="G52" s="8">
        <f t="shared" si="7"/>
        <v>24.591581342434583</v>
      </c>
      <c r="H52" s="8"/>
      <c r="I52" s="8"/>
      <c r="J52" s="8"/>
    </row>
    <row r="53" spans="1:10" x14ac:dyDescent="0.25">
      <c r="A53" t="s">
        <v>27</v>
      </c>
      <c r="B53" s="8">
        <f>B21/B22*100</f>
        <v>22.465037971760669</v>
      </c>
      <c r="C53" s="8">
        <f>C21/(C22+D22)*100</f>
        <v>17.167817858779021</v>
      </c>
      <c r="D53" s="8"/>
      <c r="E53" s="8">
        <f>E21/E22*100</f>
        <v>24.263858948170387</v>
      </c>
      <c r="F53" s="8"/>
      <c r="G53" s="8">
        <f>G21/G22*100</f>
        <v>49.35640626882973</v>
      </c>
      <c r="H53" s="8"/>
      <c r="I53" s="8"/>
      <c r="J53" s="8"/>
    </row>
    <row r="54" spans="1:10" x14ac:dyDescent="0.25">
      <c r="A54" t="s">
        <v>28</v>
      </c>
      <c r="B54" s="8">
        <f>(B52+B53)/2</f>
        <v>23.725344382705728</v>
      </c>
      <c r="C54" s="8">
        <f t="shared" ref="C54:G54" si="8">(C52+C53)/2</f>
        <v>20.823585877169126</v>
      </c>
      <c r="D54" s="8"/>
      <c r="E54" s="8">
        <f t="shared" si="8"/>
        <v>24.083200421012396</v>
      </c>
      <c r="F54" s="8"/>
      <c r="G54" s="8">
        <f t="shared" si="8"/>
        <v>36.973993805632155</v>
      </c>
      <c r="H54" s="8"/>
      <c r="I54" s="8"/>
      <c r="J54" s="8"/>
    </row>
    <row r="55" spans="1:10" x14ac:dyDescent="0.25">
      <c r="B55" s="8"/>
      <c r="C55" s="8"/>
      <c r="D55" s="8"/>
      <c r="E55" s="8"/>
      <c r="F55" s="8"/>
      <c r="G55" s="8"/>
      <c r="H55" s="8"/>
      <c r="I55" s="8"/>
      <c r="J55" s="8"/>
    </row>
    <row r="56" spans="1:10" x14ac:dyDescent="0.25">
      <c r="A56" t="s">
        <v>64</v>
      </c>
    </row>
    <row r="57" spans="1:10" x14ac:dyDescent="0.25">
      <c r="A57" t="s">
        <v>29</v>
      </c>
      <c r="B57" s="8"/>
      <c r="C57" s="8"/>
      <c r="D57" s="8"/>
      <c r="E57" s="8"/>
      <c r="F57" s="8"/>
      <c r="G57" s="8"/>
      <c r="H57" s="8"/>
      <c r="I57" s="8"/>
      <c r="J57" s="8"/>
    </row>
    <row r="59" spans="1:10" x14ac:dyDescent="0.25">
      <c r="A59" t="s">
        <v>30</v>
      </c>
    </row>
    <row r="60" spans="1:10" x14ac:dyDescent="0.25">
      <c r="A60" t="s">
        <v>31</v>
      </c>
      <c r="B60" s="8">
        <f>((B14/B10)-1)*100</f>
        <v>9.5120817714551276</v>
      </c>
      <c r="C60" s="8">
        <f>((C14/C10)-1)*100</f>
        <v>25.886612460766646</v>
      </c>
      <c r="D60" s="8"/>
      <c r="E60" s="8">
        <f>((E14/E10)-1)*100</f>
        <v>4.7525833551830488</v>
      </c>
      <c r="F60" s="8"/>
      <c r="G60" s="8">
        <f>((G14/G10)-1)*100</f>
        <v>2.9725609756097615</v>
      </c>
      <c r="H60" s="8"/>
      <c r="I60" s="8"/>
      <c r="J60" s="8"/>
    </row>
    <row r="61" spans="1:10" x14ac:dyDescent="0.25">
      <c r="A61" t="s">
        <v>32</v>
      </c>
      <c r="B61" s="8">
        <f>((B36/B35)-1)*100</f>
        <v>76.585155061463951</v>
      </c>
      <c r="C61" s="8">
        <f t="shared" ref="C61:G61" si="9">((C36/C35)-1)*100</f>
        <v>44.968542604640646</v>
      </c>
      <c r="D61" s="8"/>
      <c r="E61" s="8">
        <f t="shared" si="9"/>
        <v>31.906470926764307</v>
      </c>
      <c r="F61" s="8"/>
      <c r="G61" s="8">
        <f t="shared" si="9"/>
        <v>190.98883211743845</v>
      </c>
      <c r="H61" s="8"/>
      <c r="I61" s="8"/>
      <c r="J61" s="8"/>
    </row>
    <row r="62" spans="1:10" x14ac:dyDescent="0.25">
      <c r="A62" s="19" t="s">
        <v>33</v>
      </c>
      <c r="B62" s="9">
        <f>((B38/B37)-1)*100</f>
        <v>61.247190451539545</v>
      </c>
      <c r="C62" s="9">
        <f t="shared" ref="C62:G62" si="10">((C38/C37)-1)*100</f>
        <v>20.218133128835692</v>
      </c>
      <c r="D62" s="9"/>
      <c r="E62" s="9">
        <f t="shared" si="10"/>
        <v>20.852577890393963</v>
      </c>
      <c r="F62" s="9"/>
      <c r="G62" s="9">
        <f t="shared" si="10"/>
        <v>182.58871039088027</v>
      </c>
      <c r="H62" s="9"/>
      <c r="I62" s="9"/>
      <c r="J62" s="9"/>
    </row>
    <row r="63" spans="1:10" x14ac:dyDescent="0.25">
      <c r="B63" s="9"/>
      <c r="C63" s="9"/>
      <c r="D63" s="9"/>
      <c r="E63" s="9"/>
      <c r="F63" s="9"/>
      <c r="G63" s="9"/>
      <c r="H63" s="9"/>
      <c r="I63" s="9"/>
      <c r="J63" s="9"/>
    </row>
    <row r="64" spans="1:10" x14ac:dyDescent="0.25">
      <c r="A64" t="s">
        <v>34</v>
      </c>
    </row>
    <row r="65" spans="1:10" x14ac:dyDescent="0.25">
      <c r="A65" t="s">
        <v>70</v>
      </c>
      <c r="B65" s="4">
        <f>B20/(B12*3)</f>
        <v>8879.4536486929701</v>
      </c>
      <c r="C65" s="4">
        <f>(C20+D20)/((C12+D12)*3)</f>
        <v>10733.169293033669</v>
      </c>
      <c r="D65" s="5"/>
      <c r="E65" s="4">
        <f t="shared" ref="E65:G65" si="11">E20/(E12*3)</f>
        <v>5874.8382384365832</v>
      </c>
      <c r="F65" s="5"/>
      <c r="G65" s="4">
        <f t="shared" si="11"/>
        <v>22100</v>
      </c>
      <c r="H65" s="4"/>
      <c r="I65" s="4"/>
      <c r="J65" s="4"/>
    </row>
    <row r="66" spans="1:10" x14ac:dyDescent="0.25">
      <c r="A66" t="s">
        <v>71</v>
      </c>
      <c r="B66" s="4">
        <f>B21/(B14*3)</f>
        <v>10413.186387615495</v>
      </c>
      <c r="C66" s="4">
        <f>C21/((C14+D14)*3)</f>
        <v>7672.4960432065527</v>
      </c>
      <c r="D66" s="18"/>
      <c r="E66" s="4">
        <f t="shared" ref="E66:G66" si="12">E21/(E14*3)</f>
        <v>5850.7958539202946</v>
      </c>
      <c r="F66" s="18"/>
      <c r="G66" s="4">
        <f t="shared" si="12"/>
        <v>39789.035899333823</v>
      </c>
      <c r="H66" s="4"/>
      <c r="I66" s="4"/>
      <c r="J66" s="4"/>
    </row>
    <row r="67" spans="1:10" x14ac:dyDescent="0.25">
      <c r="A67" s="19" t="s">
        <v>37</v>
      </c>
      <c r="B67" s="9">
        <f>(B65/B66)*B49</f>
        <v>91.268876025331707</v>
      </c>
      <c r="C67" s="9">
        <f>(C65/C66)*C49</f>
        <v>131.46392465321139</v>
      </c>
      <c r="D67" s="9"/>
      <c r="E67" s="9">
        <f>(E65/E66)*E49</f>
        <v>94.620972916007247</v>
      </c>
      <c r="F67" s="9"/>
      <c r="G67" s="9">
        <f>(G65/G66)*G49</f>
        <v>76.500936809519615</v>
      </c>
      <c r="H67" s="9"/>
      <c r="I67" s="9"/>
      <c r="J67" s="9"/>
    </row>
    <row r="68" spans="1:10" x14ac:dyDescent="0.25">
      <c r="A68" t="s">
        <v>63</v>
      </c>
      <c r="B68" s="17">
        <f>B20/B12</f>
        <v>26638.360946078908</v>
      </c>
      <c r="C68" s="17">
        <f>(C20+D20)/(C12+D12)</f>
        <v>32199.507879101009</v>
      </c>
      <c r="D68" s="21"/>
      <c r="E68" s="17">
        <f t="shared" ref="E68:G68" si="13">E20/E12</f>
        <v>17624.51471530975</v>
      </c>
      <c r="F68" s="21"/>
      <c r="G68" s="17">
        <f t="shared" si="13"/>
        <v>66300</v>
      </c>
      <c r="H68" s="17"/>
      <c r="I68" s="17"/>
      <c r="J68" s="17"/>
    </row>
    <row r="69" spans="1:10" x14ac:dyDescent="0.25">
      <c r="A69" t="s">
        <v>62</v>
      </c>
      <c r="B69" s="9">
        <f>B21/B14</f>
        <v>31239.559162846486</v>
      </c>
      <c r="C69" s="9">
        <f>C21/(C14+D14)</f>
        <v>23017.488129619658</v>
      </c>
      <c r="D69" s="9"/>
      <c r="E69" s="9">
        <f t="shared" ref="E69:G69" si="14">E21/E14</f>
        <v>17552.387561760886</v>
      </c>
      <c r="F69" s="9"/>
      <c r="G69" s="9">
        <f t="shared" si="14"/>
        <v>119367.10769800149</v>
      </c>
      <c r="H69" s="9"/>
      <c r="I69" s="9"/>
      <c r="J69" s="9"/>
    </row>
    <row r="70" spans="1:10" x14ac:dyDescent="0.25">
      <c r="B70" s="8"/>
      <c r="C70" s="8"/>
      <c r="D70" s="8"/>
      <c r="E70" s="8"/>
      <c r="F70" s="8"/>
      <c r="G70" s="8"/>
      <c r="H70" s="8"/>
      <c r="I70" s="8"/>
      <c r="J70" s="8"/>
    </row>
    <row r="71" spans="1:10" x14ac:dyDescent="0.25">
      <c r="A71" t="s">
        <v>38</v>
      </c>
      <c r="B71" s="8"/>
      <c r="C71" s="8"/>
      <c r="D71" s="8"/>
      <c r="E71" s="8"/>
      <c r="F71" s="8"/>
      <c r="G71" s="8"/>
      <c r="H71" s="8"/>
      <c r="I71" s="8"/>
      <c r="J71" s="8"/>
    </row>
    <row r="72" spans="1:10" x14ac:dyDescent="0.25">
      <c r="A72" s="19" t="s">
        <v>39</v>
      </c>
      <c r="B72" s="9">
        <f>(B27/B26)*100</f>
        <v>121.77051402788715</v>
      </c>
      <c r="C72" s="9"/>
      <c r="D72" s="9"/>
      <c r="E72" s="9"/>
      <c r="F72" s="9"/>
      <c r="G72" s="9"/>
      <c r="H72" s="9"/>
      <c r="I72" s="9"/>
      <c r="J72" s="9"/>
    </row>
    <row r="73" spans="1:10" x14ac:dyDescent="0.25">
      <c r="A73" s="19" t="s">
        <v>40</v>
      </c>
      <c r="B73" s="9">
        <f>(B21/B27)*100</f>
        <v>94.885518849314664</v>
      </c>
      <c r="C73" s="9"/>
      <c r="D73" s="9"/>
      <c r="E73" s="9"/>
      <c r="F73" s="9"/>
      <c r="G73" s="9"/>
      <c r="H73" s="9"/>
      <c r="I73" s="9"/>
      <c r="J73" s="9"/>
    </row>
    <row r="74" spans="1:10" ht="15.75" thickBot="1" x14ac:dyDescent="0.3">
      <c r="A74" s="10"/>
      <c r="B74" s="10"/>
      <c r="C74" s="10"/>
      <c r="D74" s="10"/>
      <c r="E74" s="10"/>
      <c r="F74" s="10"/>
      <c r="G74" s="10"/>
      <c r="H74" s="10"/>
      <c r="I74" s="10"/>
      <c r="J74" s="10"/>
    </row>
    <row r="75" spans="1:10" ht="15.75" thickTop="1" x14ac:dyDescent="0.25">
      <c r="A75" s="20" t="s">
        <v>90</v>
      </c>
    </row>
    <row r="76" spans="1:10" x14ac:dyDescent="0.25">
      <c r="A76" t="s">
        <v>128</v>
      </c>
    </row>
    <row r="77" spans="1:10" x14ac:dyDescent="0.25">
      <c r="A77" t="s">
        <v>91</v>
      </c>
    </row>
    <row r="78" spans="1:10" x14ac:dyDescent="0.25">
      <c r="A78" t="s">
        <v>67</v>
      </c>
      <c r="B78" s="11"/>
      <c r="C78" s="11"/>
      <c r="D78" s="11"/>
      <c r="E78" s="11"/>
      <c r="F78" s="11"/>
    </row>
    <row r="79" spans="1:10" x14ac:dyDescent="0.25">
      <c r="A79" t="s">
        <v>80</v>
      </c>
    </row>
    <row r="80" spans="1:10" x14ac:dyDescent="0.25">
      <c r="A80" t="s">
        <v>76</v>
      </c>
    </row>
    <row r="81" spans="1:1" x14ac:dyDescent="0.25">
      <c r="A81" t="s">
        <v>75</v>
      </c>
    </row>
  </sheetData>
  <mergeCells count="13">
    <mergeCell ref="E22:F22"/>
    <mergeCell ref="A2:G2"/>
    <mergeCell ref="A4:A5"/>
    <mergeCell ref="E5:F5"/>
    <mergeCell ref="C5:D5"/>
    <mergeCell ref="C4:H4"/>
    <mergeCell ref="C21:D21"/>
    <mergeCell ref="E21:F21"/>
    <mergeCell ref="J4:J5"/>
    <mergeCell ref="E19:F19"/>
    <mergeCell ref="C19:D19"/>
    <mergeCell ref="I4:I5"/>
    <mergeCell ref="E20:F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1"/>
  <sheetViews>
    <sheetView topLeftCell="B10" zoomScale="90" zoomScaleNormal="90" workbookViewId="0">
      <selection activeCell="L81" sqref="L81"/>
    </sheetView>
  </sheetViews>
  <sheetFormatPr baseColWidth="10" defaultColWidth="11.42578125" defaultRowHeight="15" x14ac:dyDescent="0.25"/>
  <cols>
    <col min="1" max="1" width="55.140625" customWidth="1"/>
    <col min="2" max="2" width="16.140625" customWidth="1"/>
    <col min="3" max="4" width="15.5703125" customWidth="1"/>
    <col min="5" max="6" width="14.5703125" customWidth="1"/>
    <col min="7" max="7" width="15.7109375" customWidth="1"/>
    <col min="8" max="8" width="13.85546875" bestFit="1" customWidth="1"/>
    <col min="9" max="9" width="14.28515625" customWidth="1"/>
    <col min="10" max="10" width="15.85546875" bestFit="1" customWidth="1"/>
  </cols>
  <sheetData>
    <row r="2" spans="1:10" ht="15.75" x14ac:dyDescent="0.25">
      <c r="A2" s="47" t="s">
        <v>106</v>
      </c>
      <c r="B2" s="47"/>
      <c r="C2" s="47"/>
      <c r="D2" s="47"/>
      <c r="E2" s="47"/>
      <c r="F2" s="47"/>
      <c r="G2" s="47"/>
    </row>
    <row r="4" spans="1:10" x14ac:dyDescent="0.25">
      <c r="A4" s="45" t="s">
        <v>0</v>
      </c>
      <c r="B4" s="14" t="s">
        <v>1</v>
      </c>
      <c r="C4" s="49" t="s">
        <v>2</v>
      </c>
      <c r="D4" s="49"/>
      <c r="E4" s="49"/>
      <c r="F4" s="49"/>
      <c r="G4" s="49"/>
      <c r="H4" s="49"/>
      <c r="I4" s="45" t="s">
        <v>130</v>
      </c>
      <c r="J4" s="45" t="s">
        <v>77</v>
      </c>
    </row>
    <row r="5" spans="1:10" ht="15.75" thickBot="1" x14ac:dyDescent="0.3">
      <c r="A5" s="46"/>
      <c r="B5" s="1" t="s">
        <v>3</v>
      </c>
      <c r="C5" s="48" t="s">
        <v>4</v>
      </c>
      <c r="D5" s="48"/>
      <c r="E5" s="48" t="s">
        <v>79</v>
      </c>
      <c r="F5" s="48"/>
      <c r="G5" s="1" t="s">
        <v>5</v>
      </c>
      <c r="H5" s="10" t="s">
        <v>78</v>
      </c>
      <c r="I5" s="46"/>
      <c r="J5" s="46"/>
    </row>
    <row r="6" spans="1:10" ht="15.75" thickTop="1" x14ac:dyDescent="0.25">
      <c r="B6" t="s">
        <v>1</v>
      </c>
      <c r="C6" s="22" t="s">
        <v>72</v>
      </c>
      <c r="D6" s="22" t="s">
        <v>73</v>
      </c>
      <c r="E6" s="22">
        <v>1600</v>
      </c>
      <c r="F6" s="22" t="s">
        <v>74</v>
      </c>
      <c r="G6" s="22" t="s">
        <v>5</v>
      </c>
    </row>
    <row r="7" spans="1:10" x14ac:dyDescent="0.25">
      <c r="A7" s="2" t="s">
        <v>6</v>
      </c>
    </row>
    <row r="9" spans="1:10" x14ac:dyDescent="0.25">
      <c r="A9" t="s">
        <v>7</v>
      </c>
    </row>
    <row r="10" spans="1:10" x14ac:dyDescent="0.25">
      <c r="A10" s="3" t="s">
        <v>57</v>
      </c>
      <c r="B10" s="4">
        <f>+C10+E10</f>
        <v>124063</v>
      </c>
      <c r="C10" s="4">
        <v>32216.333333333332</v>
      </c>
      <c r="D10" s="4">
        <v>8506</v>
      </c>
      <c r="E10" s="4">
        <v>91846.666666666672</v>
      </c>
      <c r="F10" s="4">
        <v>44241.666666666664</v>
      </c>
      <c r="G10" s="4">
        <v>7051</v>
      </c>
      <c r="H10" s="5">
        <v>969</v>
      </c>
      <c r="I10" s="5"/>
      <c r="J10" t="s">
        <v>129</v>
      </c>
    </row>
    <row r="11" spans="1:10" x14ac:dyDescent="0.25">
      <c r="A11" s="15" t="s">
        <v>61</v>
      </c>
      <c r="B11" s="4">
        <f t="shared" ref="B11:B15" si="0">+C11+E11</f>
        <v>102983.6430629492</v>
      </c>
      <c r="C11" s="4">
        <v>26056.333333333332</v>
      </c>
      <c r="D11" s="4">
        <v>8506</v>
      </c>
      <c r="E11" s="4">
        <v>76927.309729615867</v>
      </c>
      <c r="F11" s="4">
        <v>44241.666666666664</v>
      </c>
      <c r="G11" s="4">
        <v>7051</v>
      </c>
      <c r="H11" s="5">
        <v>969</v>
      </c>
      <c r="I11" s="5"/>
      <c r="J11" t="s">
        <v>129</v>
      </c>
    </row>
    <row r="12" spans="1:10" x14ac:dyDescent="0.25">
      <c r="A12" s="3" t="s">
        <v>107</v>
      </c>
      <c r="B12" s="4">
        <f t="shared" si="0"/>
        <v>139174</v>
      </c>
      <c r="C12" s="4">
        <f>303+29266+3669+2982</f>
        <v>36220</v>
      </c>
      <c r="D12" s="4">
        <v>8525</v>
      </c>
      <c r="E12" s="13">
        <v>102954</v>
      </c>
      <c r="F12" s="13">
        <f>31035+29266</f>
        <v>60301</v>
      </c>
      <c r="G12" s="4">
        <v>7325</v>
      </c>
      <c r="H12" s="5"/>
      <c r="I12" s="5"/>
      <c r="J12" t="s">
        <v>129</v>
      </c>
    </row>
    <row r="13" spans="1:10" x14ac:dyDescent="0.25">
      <c r="A13" s="15" t="s">
        <v>61</v>
      </c>
      <c r="B13" s="4">
        <f t="shared" si="0"/>
        <v>132220</v>
      </c>
      <c r="C13" s="4">
        <v>29266</v>
      </c>
      <c r="D13" s="4">
        <v>8525</v>
      </c>
      <c r="E13" s="13">
        <v>102954</v>
      </c>
      <c r="F13" s="13">
        <v>60301</v>
      </c>
      <c r="G13" s="4">
        <v>7325</v>
      </c>
      <c r="H13" s="5"/>
      <c r="I13" s="5"/>
      <c r="J13" t="s">
        <v>129</v>
      </c>
    </row>
    <row r="14" spans="1:10" x14ac:dyDescent="0.25">
      <c r="A14" s="3" t="s">
        <v>108</v>
      </c>
      <c r="B14" s="4">
        <f t="shared" si="0"/>
        <v>131254.66666666666</v>
      </c>
      <c r="C14" s="5">
        <v>34179.666666666664</v>
      </c>
      <c r="D14" s="4">
        <v>7266.333333333333</v>
      </c>
      <c r="E14" s="4">
        <v>97075</v>
      </c>
      <c r="F14" s="13">
        <v>50642</v>
      </c>
      <c r="G14" s="4">
        <v>8103</v>
      </c>
      <c r="H14" s="5">
        <v>2301.6666666666665</v>
      </c>
      <c r="I14" s="5"/>
      <c r="J14" t="s">
        <v>129</v>
      </c>
    </row>
    <row r="15" spans="1:10" x14ac:dyDescent="0.25">
      <c r="A15" s="15" t="s">
        <v>61</v>
      </c>
      <c r="B15" s="4">
        <f t="shared" si="0"/>
        <v>107609</v>
      </c>
      <c r="C15" s="4">
        <v>27933.333333333332</v>
      </c>
      <c r="D15" s="4">
        <v>7266.333333333333</v>
      </c>
      <c r="E15" s="4">
        <v>79675.666666666672</v>
      </c>
      <c r="F15" s="13">
        <v>50643</v>
      </c>
      <c r="G15" s="4">
        <v>8103</v>
      </c>
      <c r="H15" s="5">
        <v>2301.6666666666665</v>
      </c>
      <c r="I15" s="5"/>
      <c r="J15" t="s">
        <v>129</v>
      </c>
    </row>
    <row r="16" spans="1:10" x14ac:dyDescent="0.25">
      <c r="A16" s="3" t="s">
        <v>85</v>
      </c>
      <c r="B16" s="4">
        <f>+C16+E16</f>
        <v>131250</v>
      </c>
      <c r="C16" s="4">
        <f>278+26827+3363+2734</f>
        <v>33202</v>
      </c>
      <c r="D16" s="4">
        <v>8525</v>
      </c>
      <c r="E16" s="4">
        <v>98048</v>
      </c>
      <c r="F16" s="13">
        <f>28449+26827</f>
        <v>55276</v>
      </c>
      <c r="G16" s="4">
        <v>7325</v>
      </c>
      <c r="H16" s="5"/>
      <c r="I16" s="5"/>
      <c r="J16" t="s">
        <v>133</v>
      </c>
    </row>
    <row r="18" spans="1:11" x14ac:dyDescent="0.25">
      <c r="A18" s="6" t="s">
        <v>9</v>
      </c>
    </row>
    <row r="19" spans="1:11" x14ac:dyDescent="0.25">
      <c r="A19" s="3" t="s">
        <v>57</v>
      </c>
      <c r="B19" s="4">
        <f>SUM(C19:J19)</f>
        <v>5161870079.4400005</v>
      </c>
      <c r="C19" s="56">
        <v>1437062860</v>
      </c>
      <c r="D19" s="56"/>
      <c r="E19" s="56">
        <v>2618319460</v>
      </c>
      <c r="F19" s="56"/>
      <c r="G19" s="4">
        <v>694890260</v>
      </c>
      <c r="H19" s="4">
        <v>12821225.6</v>
      </c>
      <c r="I19" s="4"/>
      <c r="J19" s="5">
        <v>398776273.83999997</v>
      </c>
    </row>
    <row r="20" spans="1:11" x14ac:dyDescent="0.25">
      <c r="A20" s="3" t="s">
        <v>107</v>
      </c>
      <c r="B20" s="4">
        <f t="shared" ref="B20:B23" si="1">SUM(C20:J20)</f>
        <v>3861299598</v>
      </c>
      <c r="C20" s="27">
        <v>1476415800</v>
      </c>
      <c r="D20" s="27">
        <v>16112250</v>
      </c>
      <c r="E20" s="56">
        <f>627708016*3</f>
        <v>1883124048</v>
      </c>
      <c r="F20" s="56"/>
      <c r="G20" s="4">
        <f>161882500*3</f>
        <v>485647500</v>
      </c>
      <c r="H20" s="5"/>
      <c r="I20" s="5">
        <v>0</v>
      </c>
      <c r="J20" s="19"/>
      <c r="K20" s="24"/>
    </row>
    <row r="21" spans="1:11" x14ac:dyDescent="0.25">
      <c r="A21" s="3" t="s">
        <v>108</v>
      </c>
      <c r="B21" s="5">
        <f t="shared" si="1"/>
        <v>4432014070</v>
      </c>
      <c r="C21" s="50">
        <v>490106620</v>
      </c>
      <c r="D21" s="50"/>
      <c r="E21" s="50">
        <v>2740855300</v>
      </c>
      <c r="F21" s="50"/>
      <c r="G21" s="5">
        <v>676663750</v>
      </c>
      <c r="H21" s="5">
        <v>195428460</v>
      </c>
      <c r="I21" s="5">
        <v>19074180</v>
      </c>
      <c r="J21" s="5">
        <v>309885760</v>
      </c>
      <c r="K21" s="19"/>
    </row>
    <row r="22" spans="1:11" x14ac:dyDescent="0.25">
      <c r="A22" s="3" t="s">
        <v>85</v>
      </c>
      <c r="B22" s="4">
        <f t="shared" si="1"/>
        <v>16960666054.889997</v>
      </c>
      <c r="C22" s="27">
        <v>5413524600</v>
      </c>
      <c r="D22" s="27">
        <v>64449000</v>
      </c>
      <c r="E22" s="56">
        <v>7032594294.4399996</v>
      </c>
      <c r="F22" s="56"/>
      <c r="G22" s="13">
        <v>1742590000</v>
      </c>
      <c r="H22" s="19"/>
      <c r="I22" s="5">
        <v>317441625.56</v>
      </c>
      <c r="J22" s="5">
        <v>2390066534.8899999</v>
      </c>
      <c r="K22" s="7"/>
    </row>
    <row r="23" spans="1:11" x14ac:dyDescent="0.25">
      <c r="A23" s="3" t="s">
        <v>109</v>
      </c>
      <c r="B23" s="4">
        <f t="shared" si="1"/>
        <v>0</v>
      </c>
      <c r="C23" s="56"/>
      <c r="D23" s="56"/>
      <c r="E23" s="56"/>
      <c r="F23" s="56"/>
    </row>
    <row r="24" spans="1:11" x14ac:dyDescent="0.25">
      <c r="B24" s="4"/>
      <c r="C24" s="4"/>
      <c r="D24" s="4"/>
      <c r="E24" s="4"/>
      <c r="F24" s="4"/>
      <c r="G24" s="4"/>
    </row>
    <row r="25" spans="1:11" x14ac:dyDescent="0.25">
      <c r="A25" s="29" t="s">
        <v>10</v>
      </c>
      <c r="B25" s="5"/>
      <c r="C25" s="5"/>
      <c r="D25" s="5"/>
      <c r="E25" s="5"/>
      <c r="F25" s="5"/>
      <c r="G25" s="5"/>
      <c r="H25" s="5"/>
      <c r="I25" s="5"/>
      <c r="J25" s="5"/>
    </row>
    <row r="26" spans="1:11" x14ac:dyDescent="0.25">
      <c r="A26" s="30" t="s">
        <v>107</v>
      </c>
      <c r="B26" s="5">
        <f>B20</f>
        <v>3861299598</v>
      </c>
      <c r="C26" s="5"/>
      <c r="D26" s="5"/>
      <c r="E26" s="5"/>
      <c r="F26" s="5"/>
      <c r="G26" s="5"/>
      <c r="H26" s="5"/>
      <c r="I26" s="5"/>
      <c r="J26" s="5"/>
    </row>
    <row r="27" spans="1:11" x14ac:dyDescent="0.25">
      <c r="A27" s="30" t="s">
        <v>108</v>
      </c>
      <c r="B27" s="34">
        <v>4582109050</v>
      </c>
      <c r="C27" s="35"/>
      <c r="D27" s="35"/>
      <c r="E27" s="5"/>
      <c r="F27" s="5"/>
      <c r="G27" s="5"/>
      <c r="H27" s="5"/>
      <c r="I27" s="5"/>
      <c r="J27" s="5"/>
    </row>
    <row r="29" spans="1:11" x14ac:dyDescent="0.25">
      <c r="A29" t="s">
        <v>11</v>
      </c>
    </row>
    <row r="30" spans="1:11" x14ac:dyDescent="0.25">
      <c r="A30" s="30" t="s">
        <v>58</v>
      </c>
      <c r="B30" s="31">
        <v>1.4880743485666665</v>
      </c>
      <c r="C30" s="31">
        <v>1.4880743485666665</v>
      </c>
      <c r="D30" s="31">
        <v>1.4880743485666665</v>
      </c>
      <c r="E30" s="31">
        <v>1.4880743485666665</v>
      </c>
      <c r="F30" s="31">
        <v>1.4880743485666665</v>
      </c>
      <c r="G30" s="31">
        <v>1.4880743485666665</v>
      </c>
      <c r="H30" s="31">
        <v>1.4880743485666665</v>
      </c>
      <c r="I30" s="31"/>
      <c r="J30" s="31">
        <v>1.4880743485666665</v>
      </c>
    </row>
    <row r="31" spans="1:11" x14ac:dyDescent="0.25">
      <c r="A31" s="30" t="s">
        <v>110</v>
      </c>
      <c r="B31" s="31">
        <v>1.56</v>
      </c>
      <c r="C31" s="31">
        <v>1.56</v>
      </c>
      <c r="D31" s="31">
        <v>1.56</v>
      </c>
      <c r="E31" s="31">
        <v>1.56</v>
      </c>
      <c r="F31" s="31">
        <v>1.56</v>
      </c>
      <c r="G31" s="31">
        <v>1.56</v>
      </c>
      <c r="H31" s="31">
        <v>1.56</v>
      </c>
      <c r="I31" s="31"/>
      <c r="J31" s="31">
        <v>1.56</v>
      </c>
    </row>
    <row r="32" spans="1:11" x14ac:dyDescent="0.25">
      <c r="A32" s="30" t="s">
        <v>13</v>
      </c>
      <c r="B32" s="5">
        <v>73492</v>
      </c>
      <c r="C32" s="5"/>
      <c r="D32" s="5"/>
      <c r="E32" s="5"/>
      <c r="F32" s="5"/>
      <c r="G32" s="5"/>
      <c r="H32" s="5"/>
      <c r="I32" s="5"/>
      <c r="J32" s="5"/>
    </row>
    <row r="33" spans="1:10" x14ac:dyDescent="0.25">
      <c r="A33" s="19"/>
      <c r="B33" s="19"/>
      <c r="C33" s="19"/>
      <c r="D33" s="19"/>
      <c r="E33" s="19"/>
      <c r="F33" s="19"/>
      <c r="G33" s="19"/>
      <c r="H33" s="19"/>
      <c r="I33" s="19"/>
      <c r="J33" s="19"/>
    </row>
    <row r="34" spans="1:10" x14ac:dyDescent="0.25">
      <c r="A34" s="32" t="s">
        <v>14</v>
      </c>
      <c r="B34" s="19"/>
      <c r="C34" s="19"/>
      <c r="D34" s="19"/>
      <c r="E34" s="19"/>
      <c r="F34" s="19"/>
      <c r="G34" s="19"/>
      <c r="H34" s="19"/>
      <c r="I34" s="19"/>
      <c r="J34" s="19"/>
    </row>
    <row r="35" spans="1:10" x14ac:dyDescent="0.25">
      <c r="A35" s="19" t="s">
        <v>59</v>
      </c>
      <c r="B35" s="5">
        <f>B19/B30</f>
        <v>3468825387.9330587</v>
      </c>
      <c r="C35" s="5">
        <f t="shared" ref="C35:G35" si="2">C19/C30</f>
        <v>965719798.46584845</v>
      </c>
      <c r="D35" s="5"/>
      <c r="E35" s="5">
        <f t="shared" si="2"/>
        <v>1759535377.0609653</v>
      </c>
      <c r="F35" s="5"/>
      <c r="G35" s="5">
        <f t="shared" si="2"/>
        <v>466972809.97372729</v>
      </c>
      <c r="H35" s="5"/>
      <c r="I35" s="5"/>
      <c r="J35" s="5"/>
    </row>
    <row r="36" spans="1:10" x14ac:dyDescent="0.25">
      <c r="A36" s="19" t="s">
        <v>111</v>
      </c>
      <c r="B36" s="5">
        <f>B21/B31</f>
        <v>2841034660.2564101</v>
      </c>
      <c r="C36" s="5">
        <f t="shared" ref="C36:G36" si="3">C21/C31</f>
        <v>314170910.25641024</v>
      </c>
      <c r="D36" s="5"/>
      <c r="E36" s="5">
        <f t="shared" si="3"/>
        <v>1756958525.6410255</v>
      </c>
      <c r="F36" s="5"/>
      <c r="G36" s="5">
        <f t="shared" si="3"/>
        <v>433758814.1025641</v>
      </c>
      <c r="H36" s="5"/>
      <c r="I36" s="5"/>
      <c r="J36" s="5"/>
    </row>
    <row r="37" spans="1:10" x14ac:dyDescent="0.25">
      <c r="A37" s="19" t="s">
        <v>60</v>
      </c>
      <c r="B37" s="5">
        <f>B35/B10</f>
        <v>27960.192708003666</v>
      </c>
      <c r="C37" s="5">
        <f>C35/(C10+D10)</f>
        <v>23714.746170385995</v>
      </c>
      <c r="D37" s="5"/>
      <c r="E37" s="5">
        <f>E35/(E10+F10)</f>
        <v>12929.36237782542</v>
      </c>
      <c r="F37" s="5"/>
      <c r="G37" s="5">
        <f>G35/G10</f>
        <v>66227.883984360698</v>
      </c>
      <c r="H37" s="5"/>
      <c r="I37" s="5"/>
      <c r="J37" s="5"/>
    </row>
    <row r="38" spans="1:10" x14ac:dyDescent="0.25">
      <c r="A38" s="19" t="s">
        <v>112</v>
      </c>
      <c r="B38" s="5">
        <f>B36/B14</f>
        <v>21645.208756435914</v>
      </c>
      <c r="C38" s="5">
        <f>C36/(C14+D14)</f>
        <v>7580.2468333834449</v>
      </c>
      <c r="D38" s="5"/>
      <c r="E38" s="5">
        <f>E36/(E14+F14)</f>
        <v>11894.08480839054</v>
      </c>
      <c r="F38" s="5"/>
      <c r="G38" s="33">
        <f>G36/G14</f>
        <v>53530.644712151559</v>
      </c>
      <c r="H38" s="33"/>
      <c r="I38" s="33"/>
      <c r="J38" s="33"/>
    </row>
    <row r="39" spans="1:10" x14ac:dyDescent="0.25">
      <c r="A39" s="19"/>
      <c r="B39" s="19"/>
      <c r="C39" s="19"/>
      <c r="D39" s="19"/>
      <c r="E39" s="19"/>
      <c r="F39" s="19"/>
      <c r="G39" s="19"/>
      <c r="H39" s="19"/>
      <c r="I39" s="19"/>
      <c r="J39" s="19"/>
    </row>
    <row r="40" spans="1:10" x14ac:dyDescent="0.25">
      <c r="A40" s="32" t="s">
        <v>17</v>
      </c>
      <c r="B40" s="19"/>
      <c r="C40" s="19"/>
      <c r="D40" s="19"/>
      <c r="E40" s="19"/>
      <c r="F40" s="19"/>
      <c r="G40" s="19"/>
      <c r="H40" s="19"/>
      <c r="I40" s="19"/>
      <c r="J40" s="19"/>
    </row>
    <row r="41" spans="1:10" x14ac:dyDescent="0.25">
      <c r="A41" s="19"/>
      <c r="B41" s="19"/>
      <c r="C41" s="19"/>
      <c r="D41" s="19"/>
      <c r="E41" s="19"/>
      <c r="F41" s="19"/>
      <c r="G41" s="19"/>
      <c r="H41" s="19"/>
      <c r="I41" s="19"/>
      <c r="J41" s="19"/>
    </row>
    <row r="42" spans="1:10" x14ac:dyDescent="0.25">
      <c r="A42" s="19" t="s">
        <v>18</v>
      </c>
      <c r="B42" s="19"/>
      <c r="C42" s="19"/>
      <c r="D42" s="19"/>
      <c r="E42" s="19"/>
      <c r="F42" s="19"/>
      <c r="G42" s="19"/>
      <c r="H42" s="19"/>
      <c r="I42" s="19"/>
      <c r="J42" s="19"/>
    </row>
    <row r="43" spans="1:10" x14ac:dyDescent="0.25">
      <c r="A43" s="19" t="s">
        <v>19</v>
      </c>
      <c r="B43" s="9">
        <f>(B13/B32)*100</f>
        <v>179.91073858379144</v>
      </c>
      <c r="C43" s="9" t="e">
        <f t="shared" ref="C43:G43" si="4">(C13/C32)*100</f>
        <v>#DIV/0!</v>
      </c>
      <c r="D43" s="9" t="e">
        <f t="shared" si="4"/>
        <v>#DIV/0!</v>
      </c>
      <c r="E43" s="9" t="e">
        <f t="shared" si="4"/>
        <v>#DIV/0!</v>
      </c>
      <c r="F43" s="9" t="e">
        <f t="shared" si="4"/>
        <v>#DIV/0!</v>
      </c>
      <c r="G43" s="9" t="e">
        <f t="shared" si="4"/>
        <v>#DIV/0!</v>
      </c>
      <c r="H43" s="9"/>
      <c r="I43" s="9"/>
      <c r="J43" s="9"/>
    </row>
    <row r="44" spans="1:10" x14ac:dyDescent="0.25">
      <c r="A44" s="19" t="s">
        <v>20</v>
      </c>
      <c r="B44" s="9">
        <f>(B15/B32)*100</f>
        <v>146.42273989005605</v>
      </c>
      <c r="C44" s="9" t="e">
        <f t="shared" ref="C44:G44" si="5">(C15/C32)*100</f>
        <v>#DIV/0!</v>
      </c>
      <c r="D44" s="9" t="e">
        <f t="shared" si="5"/>
        <v>#DIV/0!</v>
      </c>
      <c r="E44" s="9" t="e">
        <f t="shared" si="5"/>
        <v>#DIV/0!</v>
      </c>
      <c r="F44" s="9" t="e">
        <f t="shared" si="5"/>
        <v>#DIV/0!</v>
      </c>
      <c r="G44" s="9" t="e">
        <f t="shared" si="5"/>
        <v>#DIV/0!</v>
      </c>
      <c r="H44" s="9"/>
      <c r="I44" s="9"/>
      <c r="J44" s="9"/>
    </row>
    <row r="45" spans="1:10" x14ac:dyDescent="0.25">
      <c r="A45" s="19"/>
      <c r="B45" s="19"/>
      <c r="C45" s="19"/>
      <c r="D45" s="19"/>
      <c r="E45" s="19"/>
      <c r="F45" s="19"/>
      <c r="G45" s="19"/>
      <c r="H45" s="19"/>
      <c r="I45" s="19"/>
      <c r="J45" s="19"/>
    </row>
    <row r="46" spans="1:10" x14ac:dyDescent="0.25">
      <c r="A46" s="19" t="s">
        <v>21</v>
      </c>
      <c r="B46" s="19"/>
      <c r="C46" s="19"/>
      <c r="D46" s="19"/>
      <c r="E46" s="19"/>
      <c r="F46" s="19"/>
      <c r="G46" s="19"/>
      <c r="H46" s="19"/>
      <c r="I46" s="19"/>
      <c r="J46" s="19"/>
    </row>
    <row r="47" spans="1:10" x14ac:dyDescent="0.25">
      <c r="A47" s="19" t="s">
        <v>22</v>
      </c>
      <c r="B47" s="9">
        <f>B14/B12*100</f>
        <v>94.309760922777713</v>
      </c>
      <c r="C47" s="9">
        <f>C14/C12*100</f>
        <v>94.366832321001283</v>
      </c>
      <c r="D47" s="9"/>
      <c r="E47" s="9">
        <f>E14/E12*100</f>
        <v>94.289682770946243</v>
      </c>
      <c r="F47" s="9"/>
      <c r="G47" s="9">
        <f>G14/G12*100</f>
        <v>110.62116040955632</v>
      </c>
      <c r="H47" s="9"/>
      <c r="I47" s="9"/>
      <c r="J47" s="9"/>
    </row>
    <row r="48" spans="1:10" x14ac:dyDescent="0.25">
      <c r="A48" s="19" t="s">
        <v>23</v>
      </c>
      <c r="B48" s="9">
        <f>B21/B20*100</f>
        <v>114.78037270911605</v>
      </c>
      <c r="C48" s="9">
        <f>C21/(C20+D20)*100</f>
        <v>32.837347344996296</v>
      </c>
      <c r="D48" s="9"/>
      <c r="E48" s="9">
        <f>E21/E20*100</f>
        <v>145.5483138729478</v>
      </c>
      <c r="F48" s="9"/>
      <c r="G48" s="9">
        <f>G21/G20*100</f>
        <v>139.33228318893848</v>
      </c>
      <c r="H48" s="9"/>
      <c r="I48" s="9"/>
      <c r="J48" s="9"/>
    </row>
    <row r="49" spans="1:10" x14ac:dyDescent="0.25">
      <c r="A49" s="19" t="s">
        <v>24</v>
      </c>
      <c r="B49" s="9">
        <f>AVERAGE(B47:B48)</f>
        <v>104.54506681594688</v>
      </c>
      <c r="C49" s="9">
        <f t="shared" ref="C49:G49" si="6">AVERAGE(C47:C48)</f>
        <v>63.602089832998786</v>
      </c>
      <c r="D49" s="9"/>
      <c r="E49" s="9">
        <f t="shared" si="6"/>
        <v>119.91899832194702</v>
      </c>
      <c r="F49" s="9"/>
      <c r="G49" s="9">
        <f t="shared" si="6"/>
        <v>124.9767217992474</v>
      </c>
      <c r="H49" s="9"/>
      <c r="I49" s="9"/>
      <c r="J49" s="9"/>
    </row>
    <row r="50" spans="1:10" x14ac:dyDescent="0.25">
      <c r="A50" s="19"/>
      <c r="B50" s="9"/>
      <c r="C50" s="9"/>
      <c r="D50" s="9"/>
      <c r="E50" s="9"/>
      <c r="F50" s="9"/>
      <c r="G50" s="9"/>
      <c r="H50" s="9"/>
      <c r="I50" s="9"/>
      <c r="J50" s="9"/>
    </row>
    <row r="51" spans="1:10" x14ac:dyDescent="0.25">
      <c r="A51" s="19" t="s">
        <v>25</v>
      </c>
      <c r="B51" s="19"/>
      <c r="C51" s="19"/>
      <c r="D51" s="19"/>
      <c r="E51" s="19"/>
      <c r="F51" s="19"/>
      <c r="G51" s="19"/>
      <c r="H51" s="19"/>
      <c r="I51" s="19"/>
      <c r="J51" s="19"/>
    </row>
    <row r="52" spans="1:10" x14ac:dyDescent="0.25">
      <c r="A52" s="19" t="s">
        <v>26</v>
      </c>
      <c r="B52" s="9">
        <f>((B14/(B16*4))*100)</f>
        <v>25.000888888888888</v>
      </c>
      <c r="C52" s="9">
        <f>(((C14+D14)/((C16+D16)*4))*100)</f>
        <v>24.831643779806839</v>
      </c>
      <c r="D52" s="9">
        <f t="shared" ref="D52:G52" si="7">((D14/(D16*4))*100)</f>
        <v>21.308895405669599</v>
      </c>
      <c r="E52" s="9">
        <f>(((E14+F14)/((E16+F16)*4))*100)</f>
        <v>24.085759567973703</v>
      </c>
      <c r="F52" s="9">
        <f t="shared" si="7"/>
        <v>22.904153701425571</v>
      </c>
      <c r="G52" s="9">
        <f t="shared" si="7"/>
        <v>27.655290102389081</v>
      </c>
      <c r="H52" s="9"/>
      <c r="I52" s="9"/>
      <c r="J52" s="9"/>
    </row>
    <row r="53" spans="1:10" x14ac:dyDescent="0.25">
      <c r="A53" s="19" t="s">
        <v>27</v>
      </c>
      <c r="B53" s="9">
        <f>B21/B22*100</f>
        <v>26.131132207052616</v>
      </c>
      <c r="C53" s="9">
        <f>C21/(C22+D22)*100</f>
        <v>8.9468598388279936</v>
      </c>
      <c r="D53" s="9"/>
      <c r="E53" s="9">
        <f>E21/E22*100</f>
        <v>38.973601849418962</v>
      </c>
      <c r="F53" s="9"/>
      <c r="G53" s="9">
        <f>G21/G22*100</f>
        <v>38.830921214973117</v>
      </c>
      <c r="H53" s="9"/>
      <c r="I53" s="9"/>
      <c r="J53" s="9"/>
    </row>
    <row r="54" spans="1:10" x14ac:dyDescent="0.25">
      <c r="A54" s="19" t="s">
        <v>28</v>
      </c>
      <c r="B54" s="9">
        <f>(B52+B53)/2</f>
        <v>25.566010547970752</v>
      </c>
      <c r="C54" s="9">
        <f t="shared" ref="C54:G54" si="8">(C52+C53)/2</f>
        <v>16.889251809317415</v>
      </c>
      <c r="D54" s="9"/>
      <c r="E54" s="9">
        <f t="shared" si="8"/>
        <v>31.529680708696333</v>
      </c>
      <c r="F54" s="9"/>
      <c r="G54" s="9">
        <f t="shared" si="8"/>
        <v>33.243105658681102</v>
      </c>
      <c r="H54" s="9"/>
      <c r="I54" s="9"/>
      <c r="J54" s="9"/>
    </row>
    <row r="55" spans="1:10" x14ac:dyDescent="0.25">
      <c r="B55" s="8"/>
      <c r="C55" s="8"/>
      <c r="D55" s="8"/>
      <c r="E55" s="8"/>
      <c r="F55" s="8"/>
      <c r="G55" s="8"/>
      <c r="H55" s="8"/>
      <c r="I55" s="8"/>
      <c r="J55" s="8"/>
    </row>
    <row r="56" spans="1:10" x14ac:dyDescent="0.25">
      <c r="A56" t="s">
        <v>64</v>
      </c>
    </row>
    <row r="57" spans="1:10" x14ac:dyDescent="0.25">
      <c r="A57" t="s">
        <v>29</v>
      </c>
      <c r="B57" s="8"/>
      <c r="C57" s="8"/>
      <c r="D57" s="8"/>
      <c r="E57" s="8"/>
      <c r="F57" s="8"/>
      <c r="G57" s="8"/>
      <c r="H57" s="8"/>
      <c r="I57" s="8"/>
      <c r="J57" s="8"/>
    </row>
    <row r="58" spans="1:10" x14ac:dyDescent="0.25">
      <c r="A58" s="19"/>
      <c r="B58" s="19"/>
      <c r="C58" s="19"/>
      <c r="D58" s="19"/>
      <c r="E58" s="19"/>
      <c r="F58" s="19"/>
      <c r="G58" s="19"/>
      <c r="H58" s="19"/>
      <c r="I58" s="19"/>
      <c r="J58" s="19"/>
    </row>
    <row r="59" spans="1:10" x14ac:dyDescent="0.25">
      <c r="A59" s="19" t="s">
        <v>30</v>
      </c>
      <c r="B59" s="19"/>
      <c r="C59" s="19"/>
      <c r="D59" s="19"/>
      <c r="E59" s="19"/>
      <c r="F59" s="19"/>
      <c r="G59" s="19"/>
      <c r="H59" s="19"/>
      <c r="I59" s="19"/>
      <c r="J59" s="19"/>
    </row>
    <row r="60" spans="1:10" x14ac:dyDescent="0.25">
      <c r="A60" s="19" t="s">
        <v>31</v>
      </c>
      <c r="B60" s="9">
        <f>((B14/B10)-1)*100</f>
        <v>5.7967860415004235</v>
      </c>
      <c r="C60" s="9">
        <f>((C14/C10)-1)*100</f>
        <v>6.0942172190089794</v>
      </c>
      <c r="D60" s="9"/>
      <c r="E60" s="9">
        <f>((E14/E10)-1)*100</f>
        <v>5.6924584452348048</v>
      </c>
      <c r="F60" s="9"/>
      <c r="G60" s="9">
        <f>((G14/G10)-1)*100</f>
        <v>14.91986952205362</v>
      </c>
      <c r="H60" s="9"/>
      <c r="I60" s="9"/>
      <c r="J60" s="9"/>
    </row>
    <row r="61" spans="1:10" x14ac:dyDescent="0.25">
      <c r="A61" s="19" t="s">
        <v>32</v>
      </c>
      <c r="B61" s="9">
        <f>((B36/B35)-1)*100</f>
        <v>-18.098078094692603</v>
      </c>
      <c r="C61" s="9">
        <f t="shared" ref="C61:G61" si="9">((C36/C35)-1)*100</f>
        <v>-67.467695002680372</v>
      </c>
      <c r="D61" s="9"/>
      <c r="E61" s="9">
        <f t="shared" si="9"/>
        <v>-0.14645067405487655</v>
      </c>
      <c r="F61" s="9"/>
      <c r="G61" s="9">
        <f t="shared" si="9"/>
        <v>-7.11261879958961</v>
      </c>
      <c r="H61" s="9"/>
      <c r="I61" s="9"/>
      <c r="J61" s="9"/>
    </row>
    <row r="62" spans="1:10" x14ac:dyDescent="0.25">
      <c r="A62" s="19" t="s">
        <v>33</v>
      </c>
      <c r="B62" s="9">
        <f>((B38/B37)-1)*100</f>
        <v>-22.585623845718615</v>
      </c>
      <c r="C62" s="9">
        <f t="shared" ref="C62:G62" si="10">((C38/C37)-1)*100</f>
        <v>-68.03572435934673</v>
      </c>
      <c r="D62" s="9"/>
      <c r="E62" s="9">
        <f t="shared" si="10"/>
        <v>-8.0071819412412708</v>
      </c>
      <c r="F62" s="9"/>
      <c r="G62" s="9">
        <f t="shared" si="10"/>
        <v>-19.172044323819126</v>
      </c>
      <c r="H62" s="9"/>
      <c r="I62" s="9"/>
      <c r="J62" s="9"/>
    </row>
    <row r="63" spans="1:10" x14ac:dyDescent="0.25">
      <c r="A63" s="19"/>
      <c r="B63" s="9"/>
      <c r="C63" s="9"/>
      <c r="D63" s="9"/>
      <c r="E63" s="9"/>
      <c r="F63" s="9"/>
      <c r="G63" s="9"/>
      <c r="H63" s="9"/>
      <c r="I63" s="9"/>
      <c r="J63" s="9"/>
    </row>
    <row r="64" spans="1:10" x14ac:dyDescent="0.25">
      <c r="A64" s="19" t="s">
        <v>34</v>
      </c>
      <c r="B64" s="19"/>
      <c r="C64" s="19"/>
      <c r="D64" s="19"/>
      <c r="E64" s="19"/>
      <c r="F64" s="19"/>
      <c r="G64" s="19"/>
      <c r="H64" s="19"/>
      <c r="I64" s="19"/>
      <c r="J64" s="19"/>
    </row>
    <row r="65" spans="1:10" x14ac:dyDescent="0.25">
      <c r="A65" s="19" t="s">
        <v>70</v>
      </c>
      <c r="B65" s="5">
        <f>B20/(B12*3)</f>
        <v>9248.1344647707192</v>
      </c>
      <c r="C65" s="5">
        <f>(C20+D20)/((C12+D12)*3)</f>
        <v>11118.769694937982</v>
      </c>
      <c r="D65" s="5"/>
      <c r="E65" s="5">
        <f t="shared" ref="E65:G65" si="11">E20/(E12*3)</f>
        <v>6096.9755036229772</v>
      </c>
      <c r="F65" s="5"/>
      <c r="G65" s="5">
        <f t="shared" si="11"/>
        <v>22100</v>
      </c>
      <c r="H65" s="5"/>
      <c r="I65" s="5"/>
      <c r="J65" s="5"/>
    </row>
    <row r="66" spans="1:10" x14ac:dyDescent="0.25">
      <c r="A66" s="19" t="s">
        <v>71</v>
      </c>
      <c r="B66" s="5">
        <f>B21/(B14*3)</f>
        <v>11255.508553346675</v>
      </c>
      <c r="C66" s="5">
        <f>C21/((C14+D14)*3)</f>
        <v>3941.7283533593913</v>
      </c>
      <c r="D66" s="5"/>
      <c r="E66" s="5">
        <f t="shared" ref="E66:G66" si="12">E21/(E14*3)</f>
        <v>9411.4698257361142</v>
      </c>
      <c r="F66" s="5"/>
      <c r="G66" s="5">
        <f t="shared" si="12"/>
        <v>27835.935250318813</v>
      </c>
      <c r="H66" s="5"/>
      <c r="I66" s="5"/>
      <c r="J66" s="5"/>
    </row>
    <row r="67" spans="1:10" x14ac:dyDescent="0.25">
      <c r="A67" s="19" t="s">
        <v>37</v>
      </c>
      <c r="B67" s="9">
        <f>(B65/B66)*B49</f>
        <v>85.899880130679392</v>
      </c>
      <c r="C67" s="9">
        <f>(C65/C66)*C49</f>
        <v>179.40784487778538</v>
      </c>
      <c r="D67" s="9"/>
      <c r="E67" s="9">
        <f>(E65/E66)*E49</f>
        <v>77.68639848247399</v>
      </c>
      <c r="F67" s="9"/>
      <c r="G67" s="9">
        <f>(G65/G66)*G49</f>
        <v>99.223738197613955</v>
      </c>
      <c r="H67" s="9"/>
      <c r="I67" s="9"/>
      <c r="J67" s="9"/>
    </row>
    <row r="68" spans="1:10" x14ac:dyDescent="0.25">
      <c r="A68" s="19" t="s">
        <v>63</v>
      </c>
      <c r="B68" s="17">
        <f>B20/B12</f>
        <v>27744.403394312158</v>
      </c>
      <c r="C68" s="17">
        <f>(C20+D20)/(C12+D12)</f>
        <v>33356.309084813947</v>
      </c>
      <c r="D68" s="17"/>
      <c r="E68" s="17">
        <f t="shared" ref="E68:G68" si="13">E20/E12</f>
        <v>18290.926510868932</v>
      </c>
      <c r="F68" s="17"/>
      <c r="G68" s="17">
        <f t="shared" si="13"/>
        <v>66300</v>
      </c>
      <c r="H68" s="17"/>
      <c r="I68" s="17"/>
      <c r="J68" s="17"/>
    </row>
    <row r="69" spans="1:10" x14ac:dyDescent="0.25">
      <c r="A69" s="19" t="s">
        <v>62</v>
      </c>
      <c r="B69" s="9">
        <f>B21/B14</f>
        <v>33766.525660040024</v>
      </c>
      <c r="C69" s="9">
        <f>C21/(C14+D14)</f>
        <v>11825.185060078175</v>
      </c>
      <c r="D69" s="9"/>
      <c r="E69" s="9">
        <f t="shared" ref="E69:G69" si="14">E21/E14</f>
        <v>28234.409477208344</v>
      </c>
      <c r="F69" s="9"/>
      <c r="G69" s="9">
        <f t="shared" si="14"/>
        <v>83507.805750956439</v>
      </c>
      <c r="H69" s="9"/>
      <c r="I69" s="9"/>
      <c r="J69" s="9"/>
    </row>
    <row r="70" spans="1:10" x14ac:dyDescent="0.25">
      <c r="A70" s="19"/>
      <c r="B70" s="9"/>
      <c r="C70" s="9"/>
      <c r="D70" s="9"/>
      <c r="E70" s="9"/>
      <c r="F70" s="9"/>
      <c r="G70" s="9"/>
      <c r="H70" s="9"/>
      <c r="I70" s="9"/>
      <c r="J70" s="9"/>
    </row>
    <row r="71" spans="1:10" x14ac:dyDescent="0.25">
      <c r="A71" s="19" t="s">
        <v>38</v>
      </c>
      <c r="B71" s="9"/>
      <c r="C71" s="9"/>
      <c r="D71" s="9"/>
      <c r="E71" s="9"/>
      <c r="F71" s="9"/>
      <c r="G71" s="9"/>
      <c r="H71" s="9"/>
      <c r="I71" s="9"/>
      <c r="J71" s="9"/>
    </row>
    <row r="72" spans="1:10" x14ac:dyDescent="0.25">
      <c r="A72" s="19" t="s">
        <v>39</v>
      </c>
      <c r="B72" s="9">
        <f>(B27/B26)*100</f>
        <v>118.66753495049569</v>
      </c>
      <c r="C72" s="9"/>
      <c r="D72" s="9"/>
      <c r="E72" s="9"/>
      <c r="F72" s="9"/>
      <c r="G72" s="9"/>
      <c r="H72" s="9"/>
      <c r="I72" s="9"/>
      <c r="J72" s="9"/>
    </row>
    <row r="73" spans="1:10" x14ac:dyDescent="0.25">
      <c r="A73" s="19" t="s">
        <v>40</v>
      </c>
      <c r="B73" s="9">
        <f>(B21/B27)*100</f>
        <v>96.72432545008941</v>
      </c>
      <c r="C73" s="9"/>
      <c r="D73" s="9"/>
      <c r="E73" s="9"/>
      <c r="F73" s="9"/>
      <c r="G73" s="9"/>
      <c r="H73" s="9"/>
      <c r="I73" s="9"/>
      <c r="J73" s="9"/>
    </row>
    <row r="74" spans="1:10" ht="15.75" thickBot="1" x14ac:dyDescent="0.3">
      <c r="A74" s="36"/>
      <c r="B74" s="36"/>
      <c r="C74" s="36"/>
      <c r="D74" s="36"/>
      <c r="E74" s="36"/>
      <c r="F74" s="36"/>
      <c r="G74" s="36"/>
      <c r="H74" s="36"/>
      <c r="I74" s="36"/>
      <c r="J74" s="36"/>
    </row>
    <row r="75" spans="1:10" ht="15.75" thickTop="1" x14ac:dyDescent="0.25">
      <c r="A75" s="20" t="s">
        <v>90</v>
      </c>
    </row>
    <row r="76" spans="1:10" x14ac:dyDescent="0.25">
      <c r="A76" t="s">
        <v>128</v>
      </c>
    </row>
    <row r="77" spans="1:10" x14ac:dyDescent="0.25">
      <c r="A77" t="s">
        <v>91</v>
      </c>
    </row>
    <row r="78" spans="1:10" x14ac:dyDescent="0.25">
      <c r="A78" t="s">
        <v>67</v>
      </c>
      <c r="B78" s="11"/>
      <c r="C78" s="11"/>
      <c r="D78" s="11"/>
      <c r="E78" s="11"/>
      <c r="F78" s="11"/>
    </row>
    <row r="79" spans="1:10" x14ac:dyDescent="0.25">
      <c r="A79" t="s">
        <v>80</v>
      </c>
    </row>
    <row r="80" spans="1:10" x14ac:dyDescent="0.25">
      <c r="A80" t="s">
        <v>76</v>
      </c>
    </row>
    <row r="81" spans="1:1" x14ac:dyDescent="0.25">
      <c r="A81" t="s">
        <v>75</v>
      </c>
    </row>
  </sheetData>
  <mergeCells count="15">
    <mergeCell ref="J4:J5"/>
    <mergeCell ref="C23:D23"/>
    <mergeCell ref="E23:F23"/>
    <mergeCell ref="E19:F19"/>
    <mergeCell ref="A2:G2"/>
    <mergeCell ref="A4:A5"/>
    <mergeCell ref="C5:D5"/>
    <mergeCell ref="C19:D19"/>
    <mergeCell ref="E5:F5"/>
    <mergeCell ref="C4:H4"/>
    <mergeCell ref="C21:D21"/>
    <mergeCell ref="E21:F21"/>
    <mergeCell ref="I4:I5"/>
    <mergeCell ref="E20:F20"/>
    <mergeCell ref="E22:F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topLeftCell="B1" zoomScale="75" zoomScaleNormal="75" workbookViewId="0">
      <selection activeCell="B59" sqref="B59"/>
    </sheetView>
  </sheetViews>
  <sheetFormatPr baseColWidth="10" defaultColWidth="11.42578125" defaultRowHeight="15" x14ac:dyDescent="0.25"/>
  <cols>
    <col min="1" max="1" width="55.140625" customWidth="1"/>
    <col min="2" max="2" width="18.5703125" bestFit="1" customWidth="1"/>
    <col min="3" max="4" width="16.5703125" customWidth="1"/>
    <col min="5" max="6" width="17.42578125" customWidth="1"/>
    <col min="7" max="7" width="18.5703125" customWidth="1"/>
    <col min="8" max="9" width="13.85546875" bestFit="1" customWidth="1"/>
    <col min="10" max="10" width="15.140625" bestFit="1" customWidth="1"/>
  </cols>
  <sheetData>
    <row r="1" spans="1:10" x14ac:dyDescent="0.25">
      <c r="E1" s="24"/>
      <c r="F1" s="19"/>
    </row>
    <row r="2" spans="1:10" ht="15.75" x14ac:dyDescent="0.25">
      <c r="A2" s="53" t="s">
        <v>113</v>
      </c>
      <c r="B2" s="53"/>
      <c r="C2" s="53"/>
      <c r="D2" s="53"/>
      <c r="E2" s="53"/>
      <c r="F2" s="53"/>
      <c r="G2" s="53"/>
    </row>
    <row r="4" spans="1:10" x14ac:dyDescent="0.25">
      <c r="A4" s="45" t="s">
        <v>0</v>
      </c>
      <c r="B4" s="14" t="s">
        <v>1</v>
      </c>
      <c r="C4" s="49" t="s">
        <v>2</v>
      </c>
      <c r="D4" s="49"/>
      <c r="E4" s="49"/>
      <c r="F4" s="49"/>
      <c r="G4" s="49"/>
      <c r="H4" s="49"/>
      <c r="I4" s="45" t="s">
        <v>130</v>
      </c>
      <c r="J4" s="45" t="s">
        <v>77</v>
      </c>
    </row>
    <row r="5" spans="1:10" ht="15.75" thickBot="1" x14ac:dyDescent="0.3">
      <c r="A5" s="46"/>
      <c r="B5" s="1" t="s">
        <v>3</v>
      </c>
      <c r="C5" s="48" t="s">
        <v>4</v>
      </c>
      <c r="D5" s="48"/>
      <c r="E5" s="48" t="s">
        <v>79</v>
      </c>
      <c r="F5" s="48"/>
      <c r="G5" s="1" t="s">
        <v>5</v>
      </c>
      <c r="H5" s="10" t="s">
        <v>78</v>
      </c>
      <c r="I5" s="46"/>
      <c r="J5" s="46"/>
    </row>
    <row r="6" spans="1:10" ht="15.75" thickTop="1" x14ac:dyDescent="0.25">
      <c r="B6" t="s">
        <v>1</v>
      </c>
      <c r="C6" s="22" t="s">
        <v>72</v>
      </c>
      <c r="D6" s="22" t="s">
        <v>73</v>
      </c>
      <c r="E6" s="22">
        <v>1600</v>
      </c>
      <c r="F6" s="22" t="s">
        <v>74</v>
      </c>
      <c r="G6" s="22" t="s">
        <v>5</v>
      </c>
    </row>
    <row r="7" spans="1:10" x14ac:dyDescent="0.25">
      <c r="A7" s="2" t="s">
        <v>6</v>
      </c>
    </row>
    <row r="9" spans="1:10" x14ac:dyDescent="0.25">
      <c r="A9" t="s">
        <v>7</v>
      </c>
    </row>
    <row r="10" spans="1:10" x14ac:dyDescent="0.25">
      <c r="A10" s="3" t="s">
        <v>53</v>
      </c>
      <c r="B10" s="13">
        <f>+C10+E10</f>
        <v>161214.16666666666</v>
      </c>
      <c r="C10" s="13">
        <f>+'I Trimestre'!C10+'II Trimestre'!C10/2</f>
        <v>38832</v>
      </c>
      <c r="D10" s="13">
        <f>+'I Trimestre'!D10+'II Trimestre'!D10/2</f>
        <v>6970.5</v>
      </c>
      <c r="E10" s="13">
        <f>+'I Trimestre'!E10+'II Trimestre'!E10/2</f>
        <v>122382.16666666666</v>
      </c>
      <c r="F10" s="13">
        <f>+'I Trimestre'!F10+'II Trimestre'!F10/2</f>
        <v>60062</v>
      </c>
      <c r="G10" s="13">
        <f>+'I Trimestre'!G10+'II Trimestre'!G10/2</f>
        <v>5181.1666666666661</v>
      </c>
    </row>
    <row r="11" spans="1:10" x14ac:dyDescent="0.25">
      <c r="A11" s="16" t="s">
        <v>61</v>
      </c>
      <c r="B11" s="13">
        <f t="shared" ref="B11:B15" si="0">+C11+E11</f>
        <v>136723.5</v>
      </c>
      <c r="C11" s="13">
        <f>+'I Trimestre'!C11+'II Trimestre'!C11/2</f>
        <v>32193.833333333332</v>
      </c>
      <c r="D11" s="13">
        <f>+'I Trimestre'!D11+'II Trimestre'!D11/2</f>
        <v>6970.5</v>
      </c>
      <c r="E11" s="13">
        <f>+'I Trimestre'!E11+'II Trimestre'!E11/2</f>
        <v>104529.66666666666</v>
      </c>
      <c r="F11" s="13">
        <f>+'I Trimestre'!F11+'II Trimestre'!F11/2</f>
        <v>60062</v>
      </c>
      <c r="G11" s="13">
        <f>+'I Trimestre'!G11+'II Trimestre'!G11/2</f>
        <v>5181.1666666666661</v>
      </c>
    </row>
    <row r="12" spans="1:10" x14ac:dyDescent="0.25">
      <c r="A12" s="3" t="s">
        <v>114</v>
      </c>
      <c r="B12" s="13">
        <f t="shared" si="0"/>
        <v>183806</v>
      </c>
      <c r="C12" s="13">
        <f>+'I Trimestre'!C12+'II Trimestre'!C12/2</f>
        <v>48295</v>
      </c>
      <c r="D12" s="13">
        <f>+'I Trimestre'!D12+'II Trimestre'!D12/2</f>
        <v>12787.5</v>
      </c>
      <c r="E12" s="13">
        <f>+'I Trimestre'!E12+'II Trimestre'!E12/2</f>
        <v>135511</v>
      </c>
      <c r="F12" s="13">
        <f>+'I Trimestre'!F12+'II Trimestre'!F12/2</f>
        <v>80401.5</v>
      </c>
      <c r="G12" s="13">
        <f>+'I Trimestre'!G12+'II Trimestre'!G12/2</f>
        <v>10987.5</v>
      </c>
    </row>
    <row r="13" spans="1:10" x14ac:dyDescent="0.25">
      <c r="A13" s="16" t="s">
        <v>61</v>
      </c>
      <c r="B13" s="13">
        <f t="shared" si="0"/>
        <v>174533</v>
      </c>
      <c r="C13" s="13">
        <f>+'I Trimestre'!C13+'II Trimestre'!C13/2</f>
        <v>39022</v>
      </c>
      <c r="D13" s="13">
        <f>+'I Trimestre'!D13+'II Trimestre'!D13/2</f>
        <v>12787.5</v>
      </c>
      <c r="E13" s="13">
        <f>+'I Trimestre'!E13+'II Trimestre'!E13/2</f>
        <v>135511</v>
      </c>
      <c r="F13" s="13">
        <f>+'I Trimestre'!F13+'II Trimestre'!F13/2</f>
        <v>80401.5</v>
      </c>
      <c r="G13" s="13">
        <f>+'I Trimestre'!G13+'II Trimestre'!G13/2</f>
        <v>10987.5</v>
      </c>
    </row>
    <row r="14" spans="1:10" x14ac:dyDescent="0.25">
      <c r="A14" s="3" t="s">
        <v>115</v>
      </c>
      <c r="B14" s="13">
        <f t="shared" si="0"/>
        <v>175221.16666666669</v>
      </c>
      <c r="C14" s="13">
        <f>+'I Trimestre'!C14+'II Trimestre'!C14/2</f>
        <v>43256.666666666672</v>
      </c>
      <c r="D14" s="13">
        <f>+'I Trimestre'!D14+'II Trimestre'!D14/2</f>
        <v>8613.6666666666661</v>
      </c>
      <c r="E14" s="13">
        <f>+'I Trimestre'!E14+'II Trimestre'!E14/2</f>
        <v>131964.5</v>
      </c>
      <c r="F14" s="13">
        <f>+'I Trimestre'!F14+'II Trimestre'!F14/2</f>
        <v>61284</v>
      </c>
      <c r="G14" s="13">
        <f>+'I Trimestre'!G14+'II Trimestre'!G14/2</f>
        <v>4666.333333333333</v>
      </c>
    </row>
    <row r="15" spans="1:10" x14ac:dyDescent="0.25">
      <c r="A15" s="16" t="s">
        <v>61</v>
      </c>
      <c r="B15" s="13">
        <f t="shared" si="0"/>
        <v>150629</v>
      </c>
      <c r="C15" s="13">
        <f>+'I Trimestre'!C15+'II Trimestre'!C15/2</f>
        <v>35789.5</v>
      </c>
      <c r="D15" s="13">
        <f>+'I Trimestre'!D15+'II Trimestre'!D15/2</f>
        <v>8613.6666666666661</v>
      </c>
      <c r="E15" s="13">
        <f>+'I Trimestre'!E15+'II Trimestre'!E15/2</f>
        <v>114839.5</v>
      </c>
      <c r="F15" s="13">
        <f>+'I Trimestre'!F15+'II Trimestre'!F15/2</f>
        <v>61284</v>
      </c>
      <c r="G15" s="13">
        <f>+'I Trimestre'!G15+'II Trimestre'!G15/2</f>
        <v>4666.333333333333</v>
      </c>
    </row>
    <row r="16" spans="1:10" x14ac:dyDescent="0.25">
      <c r="A16" s="3" t="s">
        <v>85</v>
      </c>
      <c r="B16" s="13">
        <f>+C16+E16</f>
        <v>131250</v>
      </c>
      <c r="C16" s="4">
        <f>+'II Trimestre'!C16</f>
        <v>33202</v>
      </c>
      <c r="D16" s="4">
        <f>+'II Trimestre'!D16</f>
        <v>8525</v>
      </c>
      <c r="E16" s="4">
        <f>+'II Trimestre'!E16</f>
        <v>98048</v>
      </c>
      <c r="F16" s="4">
        <f>+'II Trimestre'!F16</f>
        <v>55276</v>
      </c>
      <c r="G16" s="4">
        <f>+'II Trimestre'!G16</f>
        <v>7325</v>
      </c>
    </row>
    <row r="17" spans="1:10" x14ac:dyDescent="0.25">
      <c r="B17" s="12"/>
      <c r="C17" s="12"/>
      <c r="D17" s="12"/>
      <c r="E17" s="12"/>
      <c r="F17" s="12"/>
      <c r="G17" s="12"/>
    </row>
    <row r="18" spans="1:10" x14ac:dyDescent="0.25">
      <c r="A18" s="6" t="s">
        <v>9</v>
      </c>
      <c r="B18" s="12"/>
      <c r="C18" s="12"/>
      <c r="D18" s="12"/>
      <c r="E18" s="12"/>
      <c r="F18" s="12"/>
      <c r="G18" s="12"/>
    </row>
    <row r="19" spans="1:10" x14ac:dyDescent="0.25">
      <c r="A19" s="3" t="s">
        <v>53</v>
      </c>
      <c r="B19" s="13">
        <f>SUM(C19:J19)</f>
        <v>4569092115.0200005</v>
      </c>
      <c r="C19" s="58">
        <f>+'I Trimestre'!C19:D19+'II Trimestre'!C19:D19</f>
        <v>1988538748</v>
      </c>
      <c r="D19" s="58"/>
      <c r="E19" s="58">
        <f>+'I Trimestre'!E19:F19+'II Trimestre'!E19:F19</f>
        <v>2128849380</v>
      </c>
      <c r="F19" s="58"/>
      <c r="G19" s="13">
        <f>+'I Trimestre'!G19+'II Trimestre'!G19</f>
        <v>348431320</v>
      </c>
      <c r="H19" s="13">
        <f>+'I Trimestre'!H19+'II Trimestre'!H19</f>
        <v>0</v>
      </c>
      <c r="I19" s="13" t="s">
        <v>129</v>
      </c>
      <c r="J19" s="13">
        <f>+'I Trimestre'!J19+'II Trimestre'!J19</f>
        <v>103272667.02</v>
      </c>
    </row>
    <row r="20" spans="1:10" x14ac:dyDescent="0.25">
      <c r="A20" s="3" t="s">
        <v>114</v>
      </c>
      <c r="B20" s="13">
        <f t="shared" ref="B20:B23" si="1">SUM(C20:J20)</f>
        <v>7130470683.4400005</v>
      </c>
      <c r="C20" s="58">
        <f>+'I Trimestre'!C20:D20+'II Trimestre'!C20:D20</f>
        <v>2706778100</v>
      </c>
      <c r="D20" s="58"/>
      <c r="E20" s="58">
        <f>+'I Trimestre'!E20:F20+'II Trimestre'!E20:F20</f>
        <v>3334955958.4400001</v>
      </c>
      <c r="F20" s="58"/>
      <c r="G20" s="13">
        <f>+'I Trimestre'!G20+'II Trimestre'!G20</f>
        <v>771295000</v>
      </c>
      <c r="H20" s="13">
        <f>+'I Trimestre'!H20+'II Trimestre'!H20</f>
        <v>0</v>
      </c>
      <c r="I20" s="13">
        <f>+'I Trimestre'!I20+'II Trimestre'!I20</f>
        <v>317441625</v>
      </c>
      <c r="J20" s="13">
        <f>+'I Trimestre'!J20+'II Trimestre'!J20</f>
        <v>0</v>
      </c>
    </row>
    <row r="21" spans="1:10" x14ac:dyDescent="0.25">
      <c r="A21" s="3" t="s">
        <v>115</v>
      </c>
      <c r="B21" s="13">
        <f t="shared" si="1"/>
        <v>5648186429.9099998</v>
      </c>
      <c r="C21" s="58">
        <f>+'I Trimestre'!C21:D21+'II Trimestre'!C21:D21</f>
        <v>2430200559</v>
      </c>
      <c r="D21" s="58"/>
      <c r="E21" s="58">
        <f>+'I Trimestre'!E21:F21+'II Trimestre'!E21:F21</f>
        <v>2428894368</v>
      </c>
      <c r="F21" s="58"/>
      <c r="G21" s="13">
        <f>+'I Trimestre'!G21+'II Trimestre'!G21</f>
        <v>38255260</v>
      </c>
      <c r="H21" s="13">
        <f>+'I Trimestre'!H21+'II Trimestre'!H21</f>
        <v>129899120</v>
      </c>
      <c r="I21" s="13">
        <f>+'I Trimestre'!I21+'II Trimestre'!I21</f>
        <v>132391609.99999999</v>
      </c>
      <c r="J21" s="13">
        <f>+'I Trimestre'!J21+'II Trimestre'!J21</f>
        <v>488545512.90999997</v>
      </c>
    </row>
    <row r="22" spans="1:10" x14ac:dyDescent="0.25">
      <c r="A22" s="3" t="s">
        <v>85</v>
      </c>
      <c r="B22" s="13">
        <f t="shared" si="1"/>
        <v>18240960754.889999</v>
      </c>
      <c r="C22" s="58">
        <f>+'II Trimestre'!C22+'II Trimestre'!D22</f>
        <v>5477973600</v>
      </c>
      <c r="D22" s="58"/>
      <c r="E22" s="58">
        <f>+'II Trimestre'!E22</f>
        <v>7032594294.4399996</v>
      </c>
      <c r="F22" s="58"/>
      <c r="G22" s="13">
        <f>+'II Trimestre'!G22</f>
        <v>1742590000</v>
      </c>
      <c r="H22" s="13">
        <f>+'II Trimestre'!H22</f>
        <v>0</v>
      </c>
      <c r="I22" s="13">
        <f>+'II Trimestre'!I22</f>
        <v>317441625.56</v>
      </c>
      <c r="J22" s="13">
        <f>+'II Trimestre'!J22</f>
        <v>3670361234.8899999</v>
      </c>
    </row>
    <row r="23" spans="1:10" x14ac:dyDescent="0.25">
      <c r="A23" s="3" t="s">
        <v>116</v>
      </c>
      <c r="B23" s="13">
        <f t="shared" si="1"/>
        <v>0</v>
      </c>
      <c r="C23" s="58">
        <f>+'I Trimestre'!C23:D23+'II Trimestre'!C23:D23</f>
        <v>0</v>
      </c>
      <c r="D23" s="58"/>
      <c r="E23" s="58">
        <f>+'I Trimestre'!E23:F23+'II Trimestre'!E23:F23</f>
        <v>0</v>
      </c>
      <c r="F23" s="58"/>
      <c r="G23" s="13">
        <f>+'I Trimestre'!G23+'II Trimestre'!G23</f>
        <v>0</v>
      </c>
      <c r="H23" s="13">
        <f>+'I Trimestre'!H23+'II Trimestre'!H23</f>
        <v>0</v>
      </c>
      <c r="I23" s="13">
        <f>+'I Trimestre'!I23+'II Trimestre'!I23</f>
        <v>0</v>
      </c>
      <c r="J23" s="13">
        <f>+'I Trimestre'!J23+'II Trimestre'!J23</f>
        <v>0</v>
      </c>
    </row>
    <row r="24" spans="1:10" x14ac:dyDescent="0.25">
      <c r="B24" s="12"/>
      <c r="C24" s="12"/>
      <c r="D24" s="12"/>
      <c r="E24" s="12"/>
      <c r="F24" s="12"/>
      <c r="G24" s="12"/>
    </row>
    <row r="25" spans="1:10" x14ac:dyDescent="0.25">
      <c r="A25" s="29" t="s">
        <v>10</v>
      </c>
      <c r="B25" s="25"/>
      <c r="C25" s="25"/>
      <c r="D25" s="25"/>
      <c r="E25" s="25"/>
      <c r="F25" s="25"/>
      <c r="G25" s="25"/>
      <c r="H25" s="25"/>
      <c r="I25" s="25"/>
      <c r="J25" s="25"/>
    </row>
    <row r="26" spans="1:10" x14ac:dyDescent="0.25">
      <c r="A26" s="30" t="s">
        <v>114</v>
      </c>
      <c r="B26" s="25">
        <f>+B20</f>
        <v>7130470683.4400005</v>
      </c>
      <c r="C26" s="25"/>
      <c r="D26" s="25"/>
      <c r="E26" s="25"/>
      <c r="F26" s="25"/>
      <c r="G26" s="25"/>
      <c r="H26" s="25"/>
      <c r="I26" s="25"/>
      <c r="J26" s="25"/>
    </row>
    <row r="27" spans="1:10" x14ac:dyDescent="0.25">
      <c r="A27" s="30" t="s">
        <v>115</v>
      </c>
      <c r="B27" s="25">
        <f>+'I Trimestre'!B27+'II Trimestre'!B27</f>
        <v>6415764327.6199999</v>
      </c>
      <c r="C27" s="25"/>
      <c r="D27" s="25"/>
      <c r="E27" s="25"/>
      <c r="F27" s="25"/>
      <c r="G27" s="25"/>
      <c r="H27" s="25"/>
      <c r="I27" s="25"/>
      <c r="J27" s="25"/>
    </row>
    <row r="28" spans="1:10" x14ac:dyDescent="0.25">
      <c r="A28" s="19"/>
      <c r="B28" s="19"/>
      <c r="C28" s="19"/>
      <c r="D28" s="19"/>
      <c r="E28" s="19"/>
      <c r="F28" s="19"/>
      <c r="G28" s="19"/>
      <c r="H28" s="19"/>
      <c r="I28" s="19"/>
      <c r="J28" s="19"/>
    </row>
    <row r="29" spans="1:10" x14ac:dyDescent="0.25">
      <c r="A29" s="19" t="s">
        <v>11</v>
      </c>
      <c r="B29" s="19"/>
      <c r="C29" s="19"/>
      <c r="D29" s="19"/>
      <c r="E29" s="19"/>
      <c r="F29" s="19"/>
      <c r="G29" s="19"/>
      <c r="H29" s="19"/>
      <c r="I29" s="19"/>
      <c r="J29" s="19"/>
    </row>
    <row r="30" spans="1:10" x14ac:dyDescent="0.25">
      <c r="A30" s="30" t="s">
        <v>54</v>
      </c>
      <c r="B30" s="31">
        <v>1.45394391315</v>
      </c>
      <c r="C30" s="31">
        <v>1.45394391315</v>
      </c>
      <c r="D30" s="31">
        <v>1.45394391315</v>
      </c>
      <c r="E30" s="31">
        <v>1.45394391315</v>
      </c>
      <c r="F30" s="31">
        <v>1.45394391315</v>
      </c>
      <c r="G30" s="31">
        <v>1.45394391315</v>
      </c>
      <c r="H30" s="31">
        <v>1.45394391315</v>
      </c>
      <c r="I30" s="31"/>
      <c r="J30" s="31">
        <v>1.45394391315</v>
      </c>
    </row>
    <row r="31" spans="1:10" x14ac:dyDescent="0.25">
      <c r="A31" s="30" t="s">
        <v>117</v>
      </c>
      <c r="B31" s="31">
        <v>1.5189901056499999</v>
      </c>
      <c r="C31" s="31">
        <v>1.5189901056499999</v>
      </c>
      <c r="D31" s="31">
        <v>1.5189901056499999</v>
      </c>
      <c r="E31" s="31">
        <v>1.5189901056499999</v>
      </c>
      <c r="F31" s="31">
        <v>1.5189901056499999</v>
      </c>
      <c r="G31" s="31">
        <v>1.5189901056499999</v>
      </c>
      <c r="H31" s="31">
        <v>1.5189901056499999</v>
      </c>
      <c r="I31" s="31"/>
      <c r="J31" s="31">
        <v>1.5189901056499999</v>
      </c>
    </row>
    <row r="32" spans="1:10" x14ac:dyDescent="0.25">
      <c r="A32" s="30" t="s">
        <v>13</v>
      </c>
      <c r="B32" s="5">
        <v>73492</v>
      </c>
      <c r="C32" s="5"/>
      <c r="D32" s="5"/>
      <c r="E32" s="5"/>
      <c r="F32" s="5"/>
      <c r="G32" s="5"/>
      <c r="H32" s="5"/>
      <c r="I32" s="5"/>
      <c r="J32" s="5"/>
    </row>
    <row r="33" spans="1:10" x14ac:dyDescent="0.25">
      <c r="A33" s="19"/>
      <c r="B33" s="19"/>
      <c r="C33" s="19"/>
      <c r="D33" s="19"/>
      <c r="E33" s="19"/>
      <c r="F33" s="19"/>
      <c r="G33" s="19"/>
      <c r="H33" s="19"/>
      <c r="I33" s="19"/>
      <c r="J33" s="19"/>
    </row>
    <row r="34" spans="1:10" x14ac:dyDescent="0.25">
      <c r="A34" s="32" t="s">
        <v>14</v>
      </c>
      <c r="B34" s="19"/>
      <c r="C34" s="19"/>
      <c r="D34" s="19"/>
      <c r="E34" s="19"/>
      <c r="F34" s="19"/>
      <c r="G34" s="19"/>
      <c r="H34" s="19"/>
      <c r="I34" s="19"/>
      <c r="J34" s="19"/>
    </row>
    <row r="35" spans="1:10" x14ac:dyDescent="0.25">
      <c r="A35" s="19" t="s">
        <v>55</v>
      </c>
      <c r="B35" s="5">
        <f>B19/B30</f>
        <v>3142550461.3317347</v>
      </c>
      <c r="C35" s="5">
        <f t="shared" ref="C35:G35" si="2">C19/C30</f>
        <v>1367686009.0784307</v>
      </c>
      <c r="D35" s="5"/>
      <c r="E35" s="5">
        <f t="shared" si="2"/>
        <v>1464189478.5252087</v>
      </c>
      <c r="F35" s="5"/>
      <c r="G35" s="5">
        <f t="shared" si="2"/>
        <v>239645640.28134772</v>
      </c>
      <c r="H35" s="5"/>
      <c r="I35" s="5"/>
      <c r="J35" s="5"/>
    </row>
    <row r="36" spans="1:10" x14ac:dyDescent="0.25">
      <c r="A36" s="19" t="s">
        <v>118</v>
      </c>
      <c r="B36" s="5">
        <f>B21/B31</f>
        <v>3718382633.8967834</v>
      </c>
      <c r="C36" s="5">
        <f t="shared" ref="C36:G36" si="3">C21/C31</f>
        <v>1599879123.6102743</v>
      </c>
      <c r="D36" s="5"/>
      <c r="E36" s="5">
        <f t="shared" si="3"/>
        <v>1599019216.0999217</v>
      </c>
      <c r="F36" s="5"/>
      <c r="G36" s="5">
        <f t="shared" si="3"/>
        <v>25184667.008499023</v>
      </c>
      <c r="H36" s="5"/>
      <c r="I36" s="5"/>
      <c r="J36" s="5"/>
    </row>
    <row r="37" spans="1:10" x14ac:dyDescent="0.25">
      <c r="A37" s="19" t="s">
        <v>56</v>
      </c>
      <c r="B37" s="5">
        <f>B35/B10</f>
        <v>19493.01681302864</v>
      </c>
      <c r="C37" s="5">
        <f>C35/(C10+D10)</f>
        <v>29860.509995708326</v>
      </c>
      <c r="D37" s="5"/>
      <c r="E37" s="5">
        <f>E35/(E10+F10)</f>
        <v>8025.4113095341982</v>
      </c>
      <c r="F37" s="5"/>
      <c r="G37" s="5">
        <f>G35/G10</f>
        <v>46253.219728120646</v>
      </c>
      <c r="H37" s="5"/>
      <c r="I37" s="5"/>
      <c r="J37" s="5"/>
    </row>
    <row r="38" spans="1:10" x14ac:dyDescent="0.25">
      <c r="A38" s="19" t="s">
        <v>119</v>
      </c>
      <c r="B38" s="5">
        <f>B36/B14</f>
        <v>21221.08136039567</v>
      </c>
      <c r="C38" s="5">
        <f>C36/(C14+D14)</f>
        <v>30843.818051621176</v>
      </c>
      <c r="D38" s="5"/>
      <c r="E38" s="5">
        <f>E36/(E14+F14)</f>
        <v>8274.4198071391074</v>
      </c>
      <c r="F38" s="5"/>
      <c r="G38" s="33">
        <f>G36/G14</f>
        <v>5397.0998660973692</v>
      </c>
      <c r="H38" s="33"/>
      <c r="I38" s="33"/>
      <c r="J38" s="33"/>
    </row>
    <row r="39" spans="1:10" x14ac:dyDescent="0.25">
      <c r="A39" s="19"/>
      <c r="B39" s="19"/>
      <c r="C39" s="19"/>
      <c r="D39" s="19"/>
      <c r="E39" s="19"/>
      <c r="F39" s="19"/>
      <c r="G39" s="19"/>
      <c r="H39" s="19"/>
      <c r="I39" s="19"/>
      <c r="J39" s="19"/>
    </row>
    <row r="40" spans="1:10" x14ac:dyDescent="0.25">
      <c r="A40" s="2" t="s">
        <v>17</v>
      </c>
    </row>
    <row r="42" spans="1:10" x14ac:dyDescent="0.25">
      <c r="A42" t="s">
        <v>18</v>
      </c>
    </row>
    <row r="43" spans="1:10" x14ac:dyDescent="0.25">
      <c r="A43" t="s">
        <v>19</v>
      </c>
      <c r="B43" s="9">
        <f>(B13/B32)*100</f>
        <v>237.48571273063735</v>
      </c>
      <c r="C43" s="9" t="e">
        <f t="shared" ref="C43:G43" si="4">(C13/C32)*100</f>
        <v>#DIV/0!</v>
      </c>
      <c r="D43" s="9" t="e">
        <f t="shared" si="4"/>
        <v>#DIV/0!</v>
      </c>
      <c r="E43" s="9" t="e">
        <f t="shared" si="4"/>
        <v>#DIV/0!</v>
      </c>
      <c r="F43" s="9" t="e">
        <f t="shared" si="4"/>
        <v>#DIV/0!</v>
      </c>
      <c r="G43" s="9" t="e">
        <f t="shared" si="4"/>
        <v>#DIV/0!</v>
      </c>
      <c r="H43" s="9"/>
      <c r="I43" s="9"/>
      <c r="J43" s="9"/>
    </row>
    <row r="44" spans="1:10" x14ac:dyDescent="0.25">
      <c r="A44" t="s">
        <v>20</v>
      </c>
      <c r="B44" s="9">
        <f>(B15/B32)*100</f>
        <v>204.95972350732052</v>
      </c>
      <c r="C44" s="9" t="e">
        <f t="shared" ref="C44:G44" si="5">(C15/C32)*100</f>
        <v>#DIV/0!</v>
      </c>
      <c r="D44" s="9" t="e">
        <f t="shared" si="5"/>
        <v>#DIV/0!</v>
      </c>
      <c r="E44" s="9" t="e">
        <f t="shared" si="5"/>
        <v>#DIV/0!</v>
      </c>
      <c r="F44" s="9" t="e">
        <f t="shared" si="5"/>
        <v>#DIV/0!</v>
      </c>
      <c r="G44" s="9" t="e">
        <f t="shared" si="5"/>
        <v>#DIV/0!</v>
      </c>
      <c r="H44" s="9"/>
      <c r="I44" s="9"/>
      <c r="J44" s="9"/>
    </row>
    <row r="46" spans="1:10" x14ac:dyDescent="0.25">
      <c r="A46" t="s">
        <v>21</v>
      </c>
    </row>
    <row r="47" spans="1:10" x14ac:dyDescent="0.25">
      <c r="A47" t="s">
        <v>22</v>
      </c>
      <c r="B47" s="8">
        <f>B14/B12*100</f>
        <v>95.329405278754066</v>
      </c>
      <c r="C47" s="8">
        <f>C14/C12*100</f>
        <v>89.567588087103573</v>
      </c>
      <c r="D47" s="8"/>
      <c r="E47" s="8">
        <f>E14/E12*100</f>
        <v>97.38286928736413</v>
      </c>
      <c r="F47" s="8"/>
      <c r="G47" s="8">
        <f>G14/G12*100</f>
        <v>42.469472885855133</v>
      </c>
      <c r="H47" s="8"/>
      <c r="I47" s="8"/>
      <c r="J47" s="8"/>
    </row>
    <row r="48" spans="1:10" x14ac:dyDescent="0.25">
      <c r="A48" t="s">
        <v>23</v>
      </c>
      <c r="B48" s="8">
        <f>B21/B20*100</f>
        <v>79.211971841178766</v>
      </c>
      <c r="C48" s="8">
        <f>C21/(C20+D20)*100</f>
        <v>89.782038616316569</v>
      </c>
      <c r="D48" s="8"/>
      <c r="E48" s="8">
        <f>E21/E20*100</f>
        <v>72.831377633429668</v>
      </c>
      <c r="F48" s="8"/>
      <c r="G48" s="8">
        <f>G21/G20*100</f>
        <v>4.9598739781795551</v>
      </c>
      <c r="H48" s="8"/>
      <c r="I48" s="8"/>
      <c r="J48" s="8"/>
    </row>
    <row r="49" spans="1:10" x14ac:dyDescent="0.25">
      <c r="A49" s="19" t="s">
        <v>24</v>
      </c>
      <c r="B49" s="9">
        <f>AVERAGE(B47:B48)</f>
        <v>87.270688559966416</v>
      </c>
      <c r="C49" s="9">
        <f t="shared" ref="C49:G49" si="6">AVERAGE(C47:C48)</f>
        <v>89.674813351710071</v>
      </c>
      <c r="D49" s="9"/>
      <c r="E49" s="9">
        <f t="shared" si="6"/>
        <v>85.107123460396906</v>
      </c>
      <c r="F49" s="9"/>
      <c r="G49" s="9">
        <f t="shared" si="6"/>
        <v>23.714673432017342</v>
      </c>
      <c r="H49" s="9"/>
      <c r="I49" s="9"/>
      <c r="J49" s="9"/>
    </row>
    <row r="50" spans="1:10" x14ac:dyDescent="0.25">
      <c r="B50" s="8"/>
      <c r="C50" s="8"/>
      <c r="D50" s="8"/>
      <c r="E50" s="8"/>
      <c r="F50" s="8"/>
      <c r="G50" s="8"/>
      <c r="H50" s="8"/>
      <c r="I50" s="8"/>
      <c r="J50" s="8"/>
    </row>
    <row r="51" spans="1:10" x14ac:dyDescent="0.25">
      <c r="A51" t="s">
        <v>25</v>
      </c>
    </row>
    <row r="52" spans="1:10" x14ac:dyDescent="0.25">
      <c r="A52" t="s">
        <v>26</v>
      </c>
      <c r="B52" s="8">
        <f>((B14/(B16*2))*100)</f>
        <v>66.750920634920647</v>
      </c>
      <c r="C52" s="8">
        <f>(((C14+D14)/((C16+D16)*2))*100)</f>
        <v>62.154400428180004</v>
      </c>
      <c r="D52" s="8">
        <f>((D14/(D16*2))*100)</f>
        <v>50.520039100684258</v>
      </c>
      <c r="E52" s="8">
        <f>(((E14+F14)/((E16+F16)*2))*100)</f>
        <v>63.019651196159764</v>
      </c>
      <c r="F52" s="8">
        <f>((F14/(F16*2))*100)</f>
        <v>55.434546638685866</v>
      </c>
      <c r="G52" s="8">
        <f>((G14/(G16*2))*100)</f>
        <v>31.852104664391351</v>
      </c>
      <c r="H52" s="8"/>
      <c r="I52" s="8"/>
      <c r="J52" s="8"/>
    </row>
    <row r="53" spans="1:10" x14ac:dyDescent="0.25">
      <c r="A53" t="s">
        <v>27</v>
      </c>
      <c r="B53" s="8">
        <f>B21/B22*100</f>
        <v>30.96430339282346</v>
      </c>
      <c r="C53" s="8">
        <f>C21/(C22+D22)*100</f>
        <v>44.363130172806962</v>
      </c>
      <c r="D53" s="8"/>
      <c r="E53" s="8">
        <f>E21/E22*100</f>
        <v>34.537672248778726</v>
      </c>
      <c r="F53" s="8"/>
      <c r="G53" s="8">
        <f>G21/G22*100</f>
        <v>2.1953104287296497</v>
      </c>
      <c r="H53" s="8"/>
      <c r="I53" s="8"/>
      <c r="J53" s="8"/>
    </row>
    <row r="54" spans="1:10" x14ac:dyDescent="0.25">
      <c r="A54" t="s">
        <v>28</v>
      </c>
      <c r="B54" s="8">
        <f>(B52+B53)/2</f>
        <v>48.857612013872057</v>
      </c>
      <c r="C54" s="8">
        <f t="shared" ref="C54:G54" si="7">(C52+C53)/2</f>
        <v>53.258765300493479</v>
      </c>
      <c r="D54" s="8"/>
      <c r="E54" s="8">
        <f t="shared" si="7"/>
        <v>48.778661722469245</v>
      </c>
      <c r="F54" s="8"/>
      <c r="G54" s="8">
        <f t="shared" si="7"/>
        <v>17.023707546560502</v>
      </c>
      <c r="H54" s="8"/>
      <c r="I54" s="8"/>
      <c r="J54" s="8"/>
    </row>
    <row r="55" spans="1:10" x14ac:dyDescent="0.25">
      <c r="B55" s="8"/>
      <c r="C55" s="8"/>
      <c r="D55" s="8"/>
      <c r="E55" s="8"/>
      <c r="F55" s="8"/>
      <c r="G55" s="8"/>
      <c r="H55" s="8"/>
      <c r="I55" s="8"/>
      <c r="J55" s="8"/>
    </row>
    <row r="56" spans="1:10" x14ac:dyDescent="0.25">
      <c r="A56" t="s">
        <v>64</v>
      </c>
    </row>
    <row r="57" spans="1:10" x14ac:dyDescent="0.25">
      <c r="A57" t="s">
        <v>29</v>
      </c>
      <c r="B57" s="8"/>
      <c r="C57" s="8"/>
      <c r="D57" s="8"/>
      <c r="E57" s="8"/>
      <c r="F57" s="8"/>
      <c r="G57" s="8"/>
      <c r="H57" s="8"/>
      <c r="I57" s="8"/>
      <c r="J57" s="8"/>
    </row>
    <row r="59" spans="1:10" x14ac:dyDescent="0.25">
      <c r="A59" t="s">
        <v>30</v>
      </c>
    </row>
    <row r="60" spans="1:10" x14ac:dyDescent="0.25">
      <c r="A60" t="s">
        <v>31</v>
      </c>
      <c r="B60" s="8">
        <f>((B14/B10)-1)*100</f>
        <v>8.6884423928832</v>
      </c>
      <c r="C60" s="8">
        <f>((C14/C10)-1)*100</f>
        <v>11.394382639747302</v>
      </c>
      <c r="D60" s="8"/>
      <c r="E60" s="8">
        <f>((E14/E10)-1)*100</f>
        <v>7.8298444898698527</v>
      </c>
      <c r="F60" s="8"/>
      <c r="G60" s="8">
        <f>((G14/G10)-1)*100</f>
        <v>-9.9366294592594944</v>
      </c>
      <c r="H60" s="8"/>
      <c r="I60" s="8"/>
      <c r="J60" s="8"/>
    </row>
    <row r="61" spans="1:10" x14ac:dyDescent="0.25">
      <c r="A61" t="s">
        <v>32</v>
      </c>
      <c r="B61" s="8">
        <f>((B36/B35)-1)*100</f>
        <v>18.323720801002686</v>
      </c>
      <c r="C61" s="8">
        <f t="shared" ref="C61:G61" si="8">((C36/C35)-1)*100</f>
        <v>16.977077559512299</v>
      </c>
      <c r="D61" s="8"/>
      <c r="E61" s="8">
        <f t="shared" si="8"/>
        <v>9.2084897175001466</v>
      </c>
      <c r="F61" s="8"/>
      <c r="G61" s="8">
        <f t="shared" si="8"/>
        <v>-89.490872031332671</v>
      </c>
      <c r="H61" s="8"/>
      <c r="I61" s="8"/>
      <c r="J61" s="8"/>
    </row>
    <row r="62" spans="1:10" x14ac:dyDescent="0.25">
      <c r="A62" s="19" t="s">
        <v>33</v>
      </c>
      <c r="B62" s="9">
        <f>((B38/B37)-1)*100</f>
        <v>8.865044153719893</v>
      </c>
      <c r="C62" s="9">
        <f t="shared" ref="C62:G62" si="9">((C38/C37)-1)*100</f>
        <v>3.2930048952753088</v>
      </c>
      <c r="D62" s="9"/>
      <c r="E62" s="9">
        <f t="shared" si="9"/>
        <v>3.1027506005715466</v>
      </c>
      <c r="F62" s="9"/>
      <c r="G62" s="9">
        <f t="shared" si="9"/>
        <v>-88.331407201872949</v>
      </c>
      <c r="H62" s="9"/>
      <c r="I62" s="9"/>
      <c r="J62" s="9"/>
    </row>
    <row r="63" spans="1:10" x14ac:dyDescent="0.25">
      <c r="A63" s="19"/>
      <c r="B63" s="9"/>
      <c r="C63" s="9"/>
      <c r="D63" s="9"/>
      <c r="E63" s="9"/>
      <c r="F63" s="9"/>
      <c r="G63" s="9"/>
      <c r="H63" s="9"/>
      <c r="I63" s="9"/>
      <c r="J63" s="9"/>
    </row>
    <row r="64" spans="1:10" x14ac:dyDescent="0.25">
      <c r="A64" s="19" t="s">
        <v>34</v>
      </c>
      <c r="B64" s="19"/>
      <c r="C64" s="19"/>
      <c r="D64" s="19"/>
      <c r="E64" s="19"/>
      <c r="F64" s="19"/>
      <c r="G64" s="19"/>
      <c r="H64" s="19"/>
      <c r="I64" s="19"/>
      <c r="J64" s="19"/>
    </row>
    <row r="65" spans="1:10" x14ac:dyDescent="0.25">
      <c r="A65" s="19" t="s">
        <v>35</v>
      </c>
      <c r="B65" s="5">
        <f>B20/(B12*6)</f>
        <v>6465.5766437076782</v>
      </c>
      <c r="C65" s="5">
        <f>C20/((C12+D12)*6)</f>
        <v>7385.5798851280369</v>
      </c>
      <c r="D65" s="5"/>
      <c r="E65" s="5">
        <f t="shared" ref="E65" si="10">E20/((E12+F12)*6)</f>
        <v>2574.3113208977402</v>
      </c>
      <c r="F65" s="5"/>
      <c r="G65" s="5">
        <f>G20/((G12)*6)</f>
        <v>11699.582859309821</v>
      </c>
      <c r="H65" s="5"/>
      <c r="I65" s="5"/>
      <c r="J65" s="5"/>
    </row>
    <row r="66" spans="1:10" x14ac:dyDescent="0.25">
      <c r="A66" s="19" t="s">
        <v>36</v>
      </c>
      <c r="B66" s="5">
        <f>B21/(B14*6)</f>
        <v>5372.4354362724443</v>
      </c>
      <c r="C66" s="5">
        <f>C21/((C14+D14)*6)</f>
        <v>7808.5757401469045</v>
      </c>
      <c r="D66" s="5"/>
      <c r="E66" s="5">
        <f t="shared" ref="E66" si="11">E21/((E14+F14)*6)</f>
        <v>2094.793636173114</v>
      </c>
      <c r="F66" s="5"/>
      <c r="G66" s="5">
        <f>G21/((G14)*6)</f>
        <v>1366.356882634474</v>
      </c>
      <c r="H66" s="5"/>
      <c r="I66" s="5"/>
      <c r="J66" s="5"/>
    </row>
    <row r="67" spans="1:10" x14ac:dyDescent="0.25">
      <c r="A67" s="19" t="s">
        <v>37</v>
      </c>
      <c r="B67" s="9">
        <f>(B65/B66)*B49</f>
        <v>105.027846742278</v>
      </c>
      <c r="C67" s="9">
        <f>(C65/C66)*C49</f>
        <v>84.817067764081273</v>
      </c>
      <c r="D67" s="9"/>
      <c r="E67" s="9">
        <f>(E65/E66)*E49</f>
        <v>104.58893307189501</v>
      </c>
      <c r="F67" s="9"/>
      <c r="G67" s="9">
        <f>(G65/G66)*G49</f>
        <v>203.05953029226526</v>
      </c>
      <c r="H67" s="9"/>
      <c r="I67" s="9"/>
      <c r="J67" s="9"/>
    </row>
    <row r="68" spans="1:10" x14ac:dyDescent="0.25">
      <c r="A68" s="19" t="s">
        <v>65</v>
      </c>
      <c r="B68" s="17">
        <f>B20/B12</f>
        <v>38793.459862246069</v>
      </c>
      <c r="C68" s="17">
        <f>C20/(C12+D12)</f>
        <v>44313.47931076822</v>
      </c>
      <c r="D68" s="17"/>
      <c r="E68" s="17">
        <f t="shared" ref="E68" si="12">E20/(E12+F12)</f>
        <v>15445.867925386441</v>
      </c>
      <c r="F68" s="17"/>
      <c r="G68" s="17">
        <f>G20/(G12)</f>
        <v>70197.497155858931</v>
      </c>
      <c r="H68" s="17"/>
      <c r="I68" s="17"/>
      <c r="J68" s="17"/>
    </row>
    <row r="69" spans="1:10" x14ac:dyDescent="0.25">
      <c r="A69" s="19" t="s">
        <v>66</v>
      </c>
      <c r="B69" s="17">
        <f>B21/B14</f>
        <v>32234.612617634662</v>
      </c>
      <c r="C69" s="17">
        <f>C21/(C14+D14)</f>
        <v>46851.454440881425</v>
      </c>
      <c r="D69" s="17"/>
      <c r="E69" s="17">
        <f t="shared" ref="E69" si="13">E21/(E14+F14)</f>
        <v>12568.761817038683</v>
      </c>
      <c r="F69" s="17"/>
      <c r="G69" s="17">
        <f>G21/(G14)</f>
        <v>8198.1412958068431</v>
      </c>
      <c r="H69" s="17"/>
      <c r="I69" s="17"/>
      <c r="J69" s="17"/>
    </row>
    <row r="70" spans="1:10" x14ac:dyDescent="0.25">
      <c r="A70" s="19"/>
      <c r="B70" s="9"/>
      <c r="C70" s="9"/>
      <c r="D70" s="9"/>
      <c r="E70" s="9"/>
      <c r="F70" s="9"/>
      <c r="G70" s="9"/>
      <c r="H70" s="9"/>
      <c r="I70" s="9"/>
      <c r="J70" s="9"/>
    </row>
    <row r="71" spans="1:10" x14ac:dyDescent="0.25">
      <c r="A71" s="19" t="s">
        <v>38</v>
      </c>
      <c r="B71" s="9"/>
      <c r="C71" s="9"/>
      <c r="D71" s="9"/>
      <c r="E71" s="9"/>
      <c r="F71" s="9"/>
      <c r="G71" s="9"/>
      <c r="H71" s="9"/>
      <c r="I71" s="9"/>
      <c r="J71" s="9"/>
    </row>
    <row r="72" spans="1:10" x14ac:dyDescent="0.25">
      <c r="A72" s="19" t="s">
        <v>39</v>
      </c>
      <c r="B72" s="9">
        <f>(B27/B26)*100</f>
        <v>89.976729622073137</v>
      </c>
      <c r="C72" s="9"/>
      <c r="D72" s="9"/>
      <c r="E72" s="9"/>
      <c r="F72" s="9"/>
      <c r="G72" s="9"/>
      <c r="H72" s="9"/>
      <c r="I72" s="9"/>
      <c r="J72" s="9"/>
    </row>
    <row r="73" spans="1:10" x14ac:dyDescent="0.25">
      <c r="A73" s="19" t="s">
        <v>40</v>
      </c>
      <c r="B73" s="9">
        <f>(B21/B27)*100</f>
        <v>88.036064629033191</v>
      </c>
      <c r="C73" s="9"/>
      <c r="D73" s="9"/>
      <c r="E73" s="9"/>
      <c r="F73" s="9"/>
      <c r="G73" s="9"/>
      <c r="H73" s="9"/>
      <c r="I73" s="9"/>
      <c r="J73" s="9"/>
    </row>
    <row r="74" spans="1:10" ht="15.75" thickBot="1" x14ac:dyDescent="0.3">
      <c r="A74" s="10"/>
      <c r="B74" s="10"/>
      <c r="C74" s="10"/>
      <c r="D74" s="10"/>
      <c r="E74" s="10"/>
      <c r="F74" s="10"/>
      <c r="G74" s="10"/>
      <c r="H74" s="10"/>
      <c r="I74" s="10"/>
      <c r="J74" s="10"/>
    </row>
    <row r="75" spans="1:10" ht="15.75" thickTop="1" x14ac:dyDescent="0.25">
      <c r="A75" s="20" t="s">
        <v>90</v>
      </c>
    </row>
    <row r="76" spans="1:10" x14ac:dyDescent="0.25">
      <c r="A76" t="s">
        <v>128</v>
      </c>
    </row>
    <row r="77" spans="1:10" x14ac:dyDescent="0.25">
      <c r="A77" t="s">
        <v>91</v>
      </c>
    </row>
    <row r="78" spans="1:10" x14ac:dyDescent="0.25">
      <c r="A78" t="s">
        <v>67</v>
      </c>
      <c r="B78" s="11"/>
      <c r="C78" s="11"/>
      <c r="D78" s="11"/>
      <c r="E78" s="11"/>
      <c r="F78" s="11"/>
    </row>
    <row r="79" spans="1:10" x14ac:dyDescent="0.25">
      <c r="A79" t="s">
        <v>81</v>
      </c>
    </row>
    <row r="80" spans="1:10" x14ac:dyDescent="0.25">
      <c r="A80" t="s">
        <v>76</v>
      </c>
    </row>
    <row r="81" spans="1:1" x14ac:dyDescent="0.25">
      <c r="A81" t="s">
        <v>75</v>
      </c>
    </row>
  </sheetData>
  <mergeCells count="17">
    <mergeCell ref="A2:G2"/>
    <mergeCell ref="A4:A5"/>
    <mergeCell ref="C5:D5"/>
    <mergeCell ref="E5:F5"/>
    <mergeCell ref="C4:H4"/>
    <mergeCell ref="J4:J5"/>
    <mergeCell ref="C23:D23"/>
    <mergeCell ref="E23:F23"/>
    <mergeCell ref="C19:D19"/>
    <mergeCell ref="E19:F19"/>
    <mergeCell ref="I4:I5"/>
    <mergeCell ref="C20:D20"/>
    <mergeCell ref="C21:D21"/>
    <mergeCell ref="C22:D22"/>
    <mergeCell ref="E20:F20"/>
    <mergeCell ref="E21:F21"/>
    <mergeCell ref="E22:F22"/>
  </mergeCells>
  <pageMargins left="0.7" right="0.7" top="0.75" bottom="0.75" header="0.3" footer="0.3"/>
  <ignoredErrors>
    <ignoredError sqref="E21 E19 C19 C2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81"/>
  <sheetViews>
    <sheetView zoomScale="80" zoomScaleNormal="80" workbookViewId="0">
      <selection activeCell="D13" sqref="D13"/>
    </sheetView>
  </sheetViews>
  <sheetFormatPr baseColWidth="10" defaultColWidth="11.42578125" defaultRowHeight="15" x14ac:dyDescent="0.25"/>
  <cols>
    <col min="1" max="1" width="55.140625" customWidth="1"/>
    <col min="2" max="2" width="17.7109375" customWidth="1"/>
    <col min="3" max="4" width="16.5703125" customWidth="1"/>
    <col min="5" max="6" width="17.42578125" customWidth="1"/>
    <col min="7" max="7" width="18.5703125" customWidth="1"/>
    <col min="8" max="8" width="13.85546875" bestFit="1" customWidth="1"/>
    <col min="9" max="9" width="13.85546875" customWidth="1"/>
    <col min="10" max="10" width="15.140625" bestFit="1" customWidth="1"/>
  </cols>
  <sheetData>
    <row r="2" spans="1:10" ht="15.75" x14ac:dyDescent="0.25">
      <c r="A2" s="47" t="s">
        <v>120</v>
      </c>
      <c r="B2" s="47"/>
      <c r="C2" s="47"/>
      <c r="D2" s="47"/>
      <c r="E2" s="47"/>
      <c r="F2" s="47"/>
      <c r="G2" s="47"/>
    </row>
    <row r="4" spans="1:10" x14ac:dyDescent="0.25">
      <c r="A4" s="45" t="s">
        <v>0</v>
      </c>
      <c r="B4" s="14" t="s">
        <v>1</v>
      </c>
      <c r="C4" s="49" t="s">
        <v>2</v>
      </c>
      <c r="D4" s="49"/>
      <c r="E4" s="49"/>
      <c r="F4" s="49"/>
      <c r="G4" s="49"/>
      <c r="H4" s="49"/>
      <c r="I4" s="45" t="s">
        <v>130</v>
      </c>
      <c r="J4" s="45" t="s">
        <v>77</v>
      </c>
    </row>
    <row r="5" spans="1:10" ht="15.75" thickBot="1" x14ac:dyDescent="0.3">
      <c r="A5" s="46"/>
      <c r="B5" s="1" t="s">
        <v>3</v>
      </c>
      <c r="C5" s="48" t="s">
        <v>4</v>
      </c>
      <c r="D5" s="48"/>
      <c r="E5" s="48" t="s">
        <v>79</v>
      </c>
      <c r="F5" s="48"/>
      <c r="G5" s="1" t="s">
        <v>5</v>
      </c>
      <c r="H5" s="10" t="s">
        <v>78</v>
      </c>
      <c r="I5" s="46"/>
      <c r="J5" s="46"/>
    </row>
    <row r="6" spans="1:10" ht="15.75" thickTop="1" x14ac:dyDescent="0.25">
      <c r="B6" t="s">
        <v>1</v>
      </c>
      <c r="C6" s="22" t="s">
        <v>72</v>
      </c>
      <c r="D6" s="22" t="s">
        <v>73</v>
      </c>
      <c r="E6" s="22">
        <v>1600</v>
      </c>
      <c r="F6" s="22" t="s">
        <v>74</v>
      </c>
      <c r="G6" s="22" t="s">
        <v>5</v>
      </c>
    </row>
    <row r="7" spans="1:10" x14ac:dyDescent="0.25">
      <c r="A7" s="2" t="s">
        <v>6</v>
      </c>
    </row>
    <row r="9" spans="1:10" x14ac:dyDescent="0.25">
      <c r="A9" t="s">
        <v>7</v>
      </c>
    </row>
    <row r="10" spans="1:10" x14ac:dyDescent="0.25">
      <c r="A10" s="3" t="s">
        <v>45</v>
      </c>
      <c r="B10" s="13">
        <f>+C10+E10</f>
        <v>261543.99999999997</v>
      </c>
      <c r="C10" s="13">
        <f>+'I Trimestre'!C10+'II Trimestre'!C10+'III Trimestre'!C10/3</f>
        <v>63443.444444444438</v>
      </c>
      <c r="D10" s="13">
        <f>+'I Trimestre'!D10+'II Trimestre'!D10+'III Trimestre'!D10/3</f>
        <v>12907</v>
      </c>
      <c r="E10" s="13">
        <f>+'I Trimestre'!E10+'II Trimestre'!E10+'III Trimestre'!E10/3</f>
        <v>198100.55555555553</v>
      </c>
      <c r="F10" s="13">
        <f>+'I Trimestre'!F10+'II Trimestre'!F10+'III Trimestre'!F10/3</f>
        <v>96536.333333333328</v>
      </c>
      <c r="G10" s="13">
        <f>+'I Trimestre'!G10+'II Trimestre'!G10+'III Trimestre'!G10/3</f>
        <v>10490.111111111109</v>
      </c>
    </row>
    <row r="11" spans="1:10" x14ac:dyDescent="0.25">
      <c r="A11" s="16" t="s">
        <v>61</v>
      </c>
      <c r="B11" s="13">
        <f t="shared" ref="B11:B15" si="0">+C11+E11</f>
        <v>220432</v>
      </c>
      <c r="C11" s="13">
        <f>+'I Trimestre'!C11+'II Trimestre'!C11+'III Trimestre'!C11/3</f>
        <v>52073.888888888883</v>
      </c>
      <c r="D11" s="13">
        <f>+'I Trimestre'!D11+'II Trimestre'!D11+'III Trimestre'!D11/3</f>
        <v>12907</v>
      </c>
      <c r="E11" s="13">
        <f>+'I Trimestre'!E11+'II Trimestre'!E11+'III Trimestre'!E11/3</f>
        <v>168358.11111111112</v>
      </c>
      <c r="F11" s="13">
        <f>+'I Trimestre'!F11+'II Trimestre'!F11+'III Trimestre'!F11/3</f>
        <v>96536.333333333328</v>
      </c>
      <c r="G11" s="13">
        <f>+'I Trimestre'!G11+'II Trimestre'!G11+'III Trimestre'!G11/3</f>
        <v>10490.111111111109</v>
      </c>
    </row>
    <row r="12" spans="1:10" x14ac:dyDescent="0.25">
      <c r="A12" s="3" t="s">
        <v>100</v>
      </c>
      <c r="B12" s="13">
        <f t="shared" si="0"/>
        <v>297772.66666666669</v>
      </c>
      <c r="C12" s="13">
        <f>+'I Trimestre'!C12+'II Trimestre'!C12+'III Trimestre'!C12/3</f>
        <v>76466.666666666672</v>
      </c>
      <c r="D12" s="13">
        <f>+'I Trimestre'!D12+'II Trimestre'!D12+'III Trimestre'!D12/3</f>
        <v>19891.666666666668</v>
      </c>
      <c r="E12" s="13">
        <f>+'I Trimestre'!E12+'II Trimestre'!E12+'III Trimestre'!E12/3</f>
        <v>221306</v>
      </c>
      <c r="F12" s="13">
        <f>+'I Trimestre'!F12+'II Trimestre'!F12+'III Trimestre'!F12/3</f>
        <v>127302</v>
      </c>
      <c r="G12" s="13">
        <f>+'I Trimestre'!G12+'II Trimestre'!G12+'III Trimestre'!G12/3</f>
        <v>17091.666666666668</v>
      </c>
    </row>
    <row r="13" spans="1:10" x14ac:dyDescent="0.25">
      <c r="A13" s="16" t="s">
        <v>61</v>
      </c>
      <c r="B13" s="13">
        <f t="shared" si="0"/>
        <v>283090.66666666669</v>
      </c>
      <c r="C13" s="13">
        <f>+'I Trimestre'!C13+'II Trimestre'!C13+'III Trimestre'!C13/3</f>
        <v>61784.666666666664</v>
      </c>
      <c r="D13" s="13">
        <f>+'I Trimestre'!D13+'II Trimestre'!D13+'III Trimestre'!D13/3</f>
        <v>19891.666666666668</v>
      </c>
      <c r="E13" s="13">
        <f>+'I Trimestre'!E13+'II Trimestre'!E13+'III Trimestre'!E13/3</f>
        <v>221306</v>
      </c>
      <c r="F13" s="13">
        <f>+'I Trimestre'!F13+'II Trimestre'!F13+'III Trimestre'!F13/3</f>
        <v>127302</v>
      </c>
      <c r="G13" s="13">
        <f>+'I Trimestre'!G13+'II Trimestre'!G13+'III Trimestre'!G13/3</f>
        <v>17091.666666666668</v>
      </c>
    </row>
    <row r="14" spans="1:10" x14ac:dyDescent="0.25">
      <c r="A14" s="3" t="s">
        <v>101</v>
      </c>
      <c r="B14" s="13">
        <f t="shared" si="0"/>
        <v>283613.88888888888</v>
      </c>
      <c r="C14" s="13">
        <f>+'I Trimestre'!C14+'II Trimestre'!C14+'III Trimestre'!C14/3</f>
        <v>71273.777777777781</v>
      </c>
      <c r="D14" s="13">
        <f>+'I Trimestre'!D14+'II Trimestre'!D14+'III Trimestre'!D14/3</f>
        <v>14857.888888888889</v>
      </c>
      <c r="E14" s="13">
        <f>+'I Trimestre'!E14+'II Trimestre'!E14+'III Trimestre'!E14/3</f>
        <v>212340.11111111109</v>
      </c>
      <c r="F14" s="13">
        <f>+'I Trimestre'!F14+'II Trimestre'!F14+'III Trimestre'!F14/3</f>
        <v>102040</v>
      </c>
      <c r="G14" s="13">
        <f>+'I Trimestre'!G14+'II Trimestre'!G14+'III Trimestre'!G14/3</f>
        <v>10620.111111111111</v>
      </c>
    </row>
    <row r="15" spans="1:10" x14ac:dyDescent="0.25">
      <c r="A15" s="16" t="s">
        <v>61</v>
      </c>
      <c r="B15" s="13">
        <f t="shared" si="0"/>
        <v>240008.33333333331</v>
      </c>
      <c r="C15" s="13">
        <f>+'I Trimestre'!C15+'II Trimestre'!C15+'III Trimestre'!C15/3</f>
        <v>58778.888888888891</v>
      </c>
      <c r="D15" s="13">
        <f>+'I Trimestre'!D15+'II Trimestre'!D15+'III Trimestre'!D15/3</f>
        <v>14857.888888888889</v>
      </c>
      <c r="E15" s="13">
        <f>+'I Trimestre'!E15+'II Trimestre'!E15+'III Trimestre'!E15/3</f>
        <v>181229.44444444444</v>
      </c>
      <c r="F15" s="13">
        <f>+'I Trimestre'!F15+'II Trimestre'!F15+'III Trimestre'!F15/3</f>
        <v>102040</v>
      </c>
      <c r="G15" s="13">
        <f>+'I Trimestre'!G15+'II Trimestre'!G15+'III Trimestre'!G15/3</f>
        <v>10620.111111111111</v>
      </c>
    </row>
    <row r="16" spans="1:10" x14ac:dyDescent="0.25">
      <c r="A16" s="3" t="s">
        <v>85</v>
      </c>
      <c r="B16" s="13">
        <f>+C16+E16</f>
        <v>131250</v>
      </c>
      <c r="C16" s="4">
        <f>+'III Trimestre'!C16</f>
        <v>33202</v>
      </c>
      <c r="D16" s="4">
        <f>+'III Trimestre'!D16</f>
        <v>8525</v>
      </c>
      <c r="E16" s="4">
        <f>+'III Trimestre'!E16</f>
        <v>98048</v>
      </c>
      <c r="F16" s="4">
        <f>+'III Trimestre'!F16</f>
        <v>55276</v>
      </c>
      <c r="G16" s="4">
        <f>+'III Trimestre'!G16</f>
        <v>7325</v>
      </c>
    </row>
    <row r="17" spans="1:10" x14ac:dyDescent="0.25">
      <c r="B17" s="12"/>
      <c r="C17" s="12"/>
      <c r="D17" s="12"/>
      <c r="E17" s="12"/>
      <c r="F17" s="12"/>
      <c r="G17" s="12"/>
    </row>
    <row r="18" spans="1:10" x14ac:dyDescent="0.25">
      <c r="A18" s="6" t="s">
        <v>9</v>
      </c>
      <c r="B18" s="12"/>
      <c r="C18" s="12"/>
      <c r="D18" s="12"/>
      <c r="E18" s="12"/>
      <c r="F18" s="12"/>
      <c r="G18" s="12"/>
    </row>
    <row r="19" spans="1:10" x14ac:dyDescent="0.25">
      <c r="A19" s="3" t="s">
        <v>45</v>
      </c>
      <c r="B19" s="13">
        <f>SUM(C19:J19)</f>
        <v>6795828982.0900002</v>
      </c>
      <c r="C19" s="58">
        <f>+'I Trimestre'!C19:D19+'II Trimestre'!C19:D19+'III Trimestre'!C19:D19</f>
        <v>2611024598</v>
      </c>
      <c r="D19" s="58"/>
      <c r="E19" s="58">
        <f>+'I Trimestre'!E19:F19+'II Trimestre'!E19:F19+'III Trimestre'!E19:F19</f>
        <v>3370151680</v>
      </c>
      <c r="F19" s="58"/>
      <c r="G19" s="13">
        <f>+'I Trimestre'!G19+'II Trimestre'!G19+'III Trimestre'!G19</f>
        <v>632047270</v>
      </c>
      <c r="H19" s="13">
        <f>+'I Trimestre'!H19+'II Trimestre'!H19+'III Trimestre'!H19</f>
        <v>0</v>
      </c>
      <c r="I19" s="13" t="s">
        <v>131</v>
      </c>
      <c r="J19" s="13">
        <f>+'I Trimestre'!J19+'II Trimestre'!J19+'III Trimestre'!J19</f>
        <v>182605434.08999997</v>
      </c>
    </row>
    <row r="20" spans="1:10" x14ac:dyDescent="0.25">
      <c r="A20" s="3" t="s">
        <v>100</v>
      </c>
      <c r="B20" s="13">
        <f t="shared" ref="B20:B23" si="1">SUM(C20:J20)</f>
        <v>10660963171.440001</v>
      </c>
      <c r="C20" s="58">
        <f>+'I Trimestre'!C20:D20+'II Trimestre'!C20:D20+'III Trimestre'!C20:D20</f>
        <v>3937108800</v>
      </c>
      <c r="D20" s="58"/>
      <c r="E20" s="58">
        <f>+'I Trimestre'!E20:F20+'II Trimestre'!E20:F20+'III Trimestre'!E20:F20</f>
        <v>5149470246.4400005</v>
      </c>
      <c r="F20" s="58"/>
      <c r="G20" s="13">
        <f>+'I Trimestre'!G20+'II Trimestre'!G20+'III Trimestre'!G20</f>
        <v>1256942500</v>
      </c>
      <c r="H20" s="13">
        <f>+'I Trimestre'!H20+'II Trimestre'!H20+'III Trimestre'!H20</f>
        <v>0</v>
      </c>
      <c r="I20" s="13">
        <f>+'I Trimestre'!I20+'II Trimestre'!I20+'III Trimestre'!I20</f>
        <v>317441625</v>
      </c>
      <c r="J20" s="13">
        <f>+'I Trimestre'!J20+'II Trimestre'!J20+'III Trimestre'!J20</f>
        <v>0</v>
      </c>
    </row>
    <row r="21" spans="1:10" x14ac:dyDescent="0.25">
      <c r="A21" s="3" t="s">
        <v>101</v>
      </c>
      <c r="B21" s="13">
        <f t="shared" si="1"/>
        <v>9746025189.9099998</v>
      </c>
      <c r="C21" s="58">
        <f>+'I Trimestre'!C21:D21+'II Trimestre'!C21:D21+'III Trimestre'!C21:D21</f>
        <v>3370649089</v>
      </c>
      <c r="D21" s="58"/>
      <c r="E21" s="58">
        <f>+'I Trimestre'!E21:F21+'II Trimestre'!E21:F21+'III Trimestre'!E21:F21</f>
        <v>4135273128</v>
      </c>
      <c r="F21" s="58"/>
      <c r="G21" s="13">
        <f>+'I Trimestre'!G21+'II Trimestre'!G21+'III Trimestre'!G21</f>
        <v>898335060</v>
      </c>
      <c r="H21" s="13">
        <f>+'I Trimestre'!H21+'II Trimestre'!H21+'III Trimestre'!H21</f>
        <v>344867130</v>
      </c>
      <c r="I21" s="13">
        <f>+'I Trimestre'!I21+'II Trimestre'!I21+'III Trimestre'!I21</f>
        <v>243990530</v>
      </c>
      <c r="J21" s="13">
        <f>+'I Trimestre'!J21+'II Trimestre'!J21+'III Trimestre'!J21</f>
        <v>752910252.90999997</v>
      </c>
    </row>
    <row r="22" spans="1:10" x14ac:dyDescent="0.25">
      <c r="A22" s="3" t="s">
        <v>85</v>
      </c>
      <c r="B22" s="13">
        <f t="shared" si="1"/>
        <v>18240960754.889999</v>
      </c>
      <c r="C22" s="58">
        <f>+'III Trimestre'!C22++'III Trimestre'!D22</f>
        <v>5477973600</v>
      </c>
      <c r="D22" s="58"/>
      <c r="E22" s="58">
        <f>+'III Trimestre'!E22</f>
        <v>7032594294.4399996</v>
      </c>
      <c r="F22" s="58"/>
      <c r="G22" s="26">
        <f>+'III Trimestre'!G22</f>
        <v>1742590000</v>
      </c>
      <c r="H22" s="26">
        <f>+'III Trimestre'!H22</f>
        <v>0</v>
      </c>
      <c r="I22" s="26">
        <f>+'III Trimestre'!I22</f>
        <v>317441625.56</v>
      </c>
      <c r="J22" s="26">
        <f>+'III Trimestre'!J22</f>
        <v>3670361234.8899999</v>
      </c>
    </row>
    <row r="23" spans="1:10" x14ac:dyDescent="0.25">
      <c r="A23" s="3" t="s">
        <v>102</v>
      </c>
      <c r="B23" s="13">
        <f t="shared" si="1"/>
        <v>0</v>
      </c>
      <c r="C23" s="58">
        <f>+'I Trimestre'!C23:D23+'II Trimestre'!C23:D23+'III Trimestre'!C23:D23</f>
        <v>0</v>
      </c>
      <c r="D23" s="58"/>
      <c r="E23" s="58">
        <f>+'I Trimestre'!E23:F23+'II Trimestre'!E23:F23+'III Trimestre'!E23:F23</f>
        <v>0</v>
      </c>
      <c r="F23" s="58"/>
      <c r="G23" s="13">
        <f>+'I Trimestre'!G23+'II Trimestre'!G23+'III Trimestre'!G23</f>
        <v>0</v>
      </c>
      <c r="H23" s="13">
        <f>+'I Trimestre'!H23+'II Trimestre'!H23+'III Trimestre'!H23</f>
        <v>0</v>
      </c>
      <c r="I23" s="13">
        <f>+'I Trimestre'!I23+'II Trimestre'!I23+'III Trimestre'!I23</f>
        <v>0</v>
      </c>
      <c r="J23" s="13">
        <f>+'I Trimestre'!J23+'II Trimestre'!J23+'III Trimestre'!J23</f>
        <v>0</v>
      </c>
    </row>
    <row r="24" spans="1:10" x14ac:dyDescent="0.25">
      <c r="B24" s="12"/>
      <c r="C24" s="12"/>
      <c r="D24" s="12"/>
      <c r="E24" s="12"/>
      <c r="F24" s="12"/>
      <c r="G24" s="12"/>
    </row>
    <row r="25" spans="1:10" x14ac:dyDescent="0.25">
      <c r="A25" s="29" t="s">
        <v>10</v>
      </c>
      <c r="B25" s="25"/>
      <c r="C25" s="25"/>
      <c r="D25" s="25"/>
      <c r="E25" s="25"/>
      <c r="F25" s="25"/>
      <c r="G25" s="25"/>
      <c r="H25" s="25"/>
      <c r="I25" s="25"/>
      <c r="J25" s="25"/>
    </row>
    <row r="26" spans="1:10" x14ac:dyDescent="0.25">
      <c r="A26" s="30" t="s">
        <v>100</v>
      </c>
      <c r="B26" s="23">
        <f>+B20</f>
        <v>10660963171.440001</v>
      </c>
      <c r="C26" s="25"/>
      <c r="D26" s="25"/>
      <c r="E26" s="25"/>
      <c r="F26" s="25"/>
      <c r="G26" s="25"/>
      <c r="H26" s="25"/>
      <c r="I26" s="25"/>
      <c r="J26" s="25"/>
    </row>
    <row r="27" spans="1:10" x14ac:dyDescent="0.25">
      <c r="A27" s="30" t="s">
        <v>101</v>
      </c>
      <c r="B27" s="23">
        <f>+'I Trimestre'!B27+'II Trimestre'!B27+'III Trimestre'!B27</f>
        <v>10734483147.619999</v>
      </c>
      <c r="C27" s="25"/>
      <c r="D27" s="25"/>
      <c r="E27" s="25"/>
      <c r="F27" s="25"/>
      <c r="G27" s="25"/>
      <c r="H27" s="25"/>
      <c r="I27" s="25"/>
      <c r="J27" s="25"/>
    </row>
    <row r="28" spans="1:10" x14ac:dyDescent="0.25">
      <c r="A28" s="19"/>
      <c r="B28" s="19"/>
      <c r="C28" s="19"/>
      <c r="D28" s="19"/>
      <c r="E28" s="19"/>
      <c r="F28" s="19"/>
      <c r="G28" s="19"/>
      <c r="H28" s="19"/>
      <c r="I28" s="19"/>
      <c r="J28" s="19"/>
    </row>
    <row r="29" spans="1:10" x14ac:dyDescent="0.25">
      <c r="A29" s="19" t="s">
        <v>11</v>
      </c>
      <c r="B29" s="19"/>
      <c r="C29" s="19"/>
      <c r="D29" s="19"/>
      <c r="E29" s="19"/>
      <c r="F29" s="19"/>
      <c r="G29" s="19"/>
      <c r="H29" s="19"/>
      <c r="I29" s="19"/>
      <c r="J29" s="19"/>
    </row>
    <row r="30" spans="1:10" x14ac:dyDescent="0.25">
      <c r="A30" s="30" t="s">
        <v>46</v>
      </c>
      <c r="B30" s="31">
        <v>1.4617491794222224</v>
      </c>
      <c r="C30" s="31">
        <v>1.4617491794222224</v>
      </c>
      <c r="D30" s="31">
        <v>1.4617491794222224</v>
      </c>
      <c r="E30" s="31">
        <v>1.4617491794222224</v>
      </c>
      <c r="F30" s="31">
        <v>1.4617491794222224</v>
      </c>
      <c r="G30" s="31">
        <v>1.4617491794222224</v>
      </c>
      <c r="H30" s="31">
        <v>1.4617491794222224</v>
      </c>
      <c r="I30" s="31"/>
      <c r="J30" s="31">
        <v>1.4617491794222224</v>
      </c>
    </row>
    <row r="31" spans="1:10" x14ac:dyDescent="0.25">
      <c r="A31" s="30" t="s">
        <v>103</v>
      </c>
      <c r="B31" s="31">
        <v>1.5258720344444443</v>
      </c>
      <c r="C31" s="31">
        <v>1.5258720344444443</v>
      </c>
      <c r="D31" s="31">
        <v>1.5258720344444443</v>
      </c>
      <c r="E31" s="31">
        <v>1.5258720344444443</v>
      </c>
      <c r="F31" s="31">
        <v>1.5258720344444443</v>
      </c>
      <c r="G31" s="31">
        <v>1.5258720344444443</v>
      </c>
      <c r="H31" s="31">
        <v>1.5258720344444443</v>
      </c>
      <c r="I31" s="31"/>
      <c r="J31" s="31">
        <v>1.5258720344444443</v>
      </c>
    </row>
    <row r="32" spans="1:10" x14ac:dyDescent="0.25">
      <c r="A32" s="30" t="s">
        <v>13</v>
      </c>
      <c r="B32" s="5">
        <v>73492</v>
      </c>
      <c r="C32" s="5"/>
      <c r="D32" s="5"/>
      <c r="E32" s="5"/>
      <c r="F32" s="5"/>
      <c r="G32" s="5"/>
      <c r="H32" s="5"/>
      <c r="I32" s="5"/>
      <c r="J32" s="5"/>
    </row>
    <row r="33" spans="1:10" x14ac:dyDescent="0.25">
      <c r="A33" s="19"/>
      <c r="B33" s="19"/>
      <c r="C33" s="19"/>
      <c r="D33" s="19"/>
      <c r="E33" s="19"/>
      <c r="F33" s="19"/>
      <c r="G33" s="19"/>
      <c r="H33" s="19"/>
      <c r="I33" s="19"/>
      <c r="J33" s="19"/>
    </row>
    <row r="34" spans="1:10" x14ac:dyDescent="0.25">
      <c r="A34" s="32" t="s">
        <v>14</v>
      </c>
      <c r="B34" s="19"/>
      <c r="C34" s="19"/>
      <c r="D34" s="19"/>
      <c r="E34" s="19"/>
      <c r="F34" s="19"/>
      <c r="G34" s="19"/>
      <c r="H34" s="19"/>
      <c r="I34" s="19"/>
      <c r="J34" s="19"/>
    </row>
    <row r="35" spans="1:10" x14ac:dyDescent="0.25">
      <c r="A35" s="19" t="s">
        <v>47</v>
      </c>
      <c r="B35" s="5">
        <f>B19/B30</f>
        <v>4649107437.6906099</v>
      </c>
      <c r="C35" s="5">
        <f t="shared" ref="C35:G35" si="2">C19/C30</f>
        <v>1786232983.5765979</v>
      </c>
      <c r="D35" s="5"/>
      <c r="E35" s="5">
        <f t="shared" si="2"/>
        <v>2305560849.5926104</v>
      </c>
      <c r="F35" s="5"/>
      <c r="G35" s="5">
        <f t="shared" si="2"/>
        <v>432391055.11235923</v>
      </c>
      <c r="H35" s="5"/>
      <c r="I35" s="5"/>
      <c r="J35" s="5"/>
    </row>
    <row r="36" spans="1:10" x14ac:dyDescent="0.25">
      <c r="A36" s="19" t="s">
        <v>104</v>
      </c>
      <c r="B36" s="5">
        <f>B21/B31</f>
        <v>6387183833.1832561</v>
      </c>
      <c r="C36" s="5">
        <f t="shared" ref="C36:G36" si="3">C21/C31</f>
        <v>2208998535.2062774</v>
      </c>
      <c r="D36" s="5"/>
      <c r="E36" s="5">
        <f t="shared" si="3"/>
        <v>2710104802.1406422</v>
      </c>
      <c r="F36" s="5"/>
      <c r="G36" s="5">
        <f t="shared" si="3"/>
        <v>588735516.29581797</v>
      </c>
      <c r="H36" s="5"/>
      <c r="I36" s="5"/>
      <c r="J36" s="5"/>
    </row>
    <row r="37" spans="1:10" x14ac:dyDescent="0.25">
      <c r="A37" s="19" t="s">
        <v>48</v>
      </c>
      <c r="B37" s="5">
        <f>B35/B10</f>
        <v>17775.62260151489</v>
      </c>
      <c r="C37" s="5">
        <f>C35/(C10+D10)</f>
        <v>23395.187763135167</v>
      </c>
      <c r="D37" s="5"/>
      <c r="E37" s="5">
        <f>E35/(E10+F10)</f>
        <v>7825.0922967831948</v>
      </c>
      <c r="F37" s="5"/>
      <c r="G37" s="5">
        <f>G35/G10</f>
        <v>41218.920422527393</v>
      </c>
      <c r="H37" s="5"/>
      <c r="I37" s="5"/>
      <c r="J37" s="5"/>
    </row>
    <row r="38" spans="1:10" x14ac:dyDescent="0.25">
      <c r="A38" s="19" t="s">
        <v>105</v>
      </c>
      <c r="B38" s="5">
        <f>B36/B14</f>
        <v>22520.701853517323</v>
      </c>
      <c r="C38" s="5">
        <f>C36/(C14+D14)</f>
        <v>25646.764084517239</v>
      </c>
      <c r="D38" s="5"/>
      <c r="E38" s="5">
        <f>E36/(E14+F14)</f>
        <v>8620.4715449789128</v>
      </c>
      <c r="F38" s="5"/>
      <c r="G38" s="33">
        <f>G36/G14</f>
        <v>55435.909298525454</v>
      </c>
      <c r="H38" s="33"/>
      <c r="I38" s="33"/>
      <c r="J38" s="33"/>
    </row>
    <row r="39" spans="1:10" x14ac:dyDescent="0.25">
      <c r="A39" s="19"/>
      <c r="B39" s="19"/>
      <c r="C39" s="19"/>
      <c r="D39" s="19"/>
      <c r="E39" s="19"/>
      <c r="F39" s="19"/>
      <c r="G39" s="19"/>
      <c r="H39" s="19"/>
      <c r="I39" s="19"/>
      <c r="J39" s="19"/>
    </row>
    <row r="40" spans="1:10" x14ac:dyDescent="0.25">
      <c r="A40" s="32" t="s">
        <v>17</v>
      </c>
      <c r="B40" s="19"/>
      <c r="C40" s="19"/>
      <c r="D40" s="19"/>
      <c r="E40" s="19"/>
      <c r="F40" s="19"/>
      <c r="G40" s="19"/>
      <c r="H40" s="19"/>
      <c r="I40" s="19"/>
      <c r="J40" s="19"/>
    </row>
    <row r="41" spans="1:10" x14ac:dyDescent="0.25">
      <c r="A41" s="19"/>
      <c r="B41" s="19"/>
      <c r="C41" s="19"/>
      <c r="D41" s="19"/>
      <c r="E41" s="19"/>
      <c r="F41" s="19"/>
      <c r="G41" s="19"/>
      <c r="H41" s="19"/>
      <c r="I41" s="19"/>
      <c r="J41" s="19"/>
    </row>
    <row r="42" spans="1:10" x14ac:dyDescent="0.25">
      <c r="A42" s="19" t="s">
        <v>18</v>
      </c>
      <c r="B42" s="19"/>
      <c r="C42" s="19"/>
      <c r="D42" s="19"/>
      <c r="E42" s="19"/>
      <c r="F42" s="19"/>
      <c r="G42" s="19"/>
      <c r="H42" s="19"/>
      <c r="I42" s="19"/>
      <c r="J42" s="19"/>
    </row>
    <row r="43" spans="1:10" x14ac:dyDescent="0.25">
      <c r="A43" s="19" t="s">
        <v>19</v>
      </c>
      <c r="B43" s="9">
        <f>(B13/B32)*100</f>
        <v>385.19929606850638</v>
      </c>
      <c r="C43" s="9" t="e">
        <f t="shared" ref="C43:G43" si="4">(C13/C32)*100</f>
        <v>#DIV/0!</v>
      </c>
      <c r="D43" s="9" t="e">
        <f t="shared" si="4"/>
        <v>#DIV/0!</v>
      </c>
      <c r="E43" s="9" t="e">
        <f t="shared" si="4"/>
        <v>#DIV/0!</v>
      </c>
      <c r="F43" s="9" t="e">
        <f t="shared" si="4"/>
        <v>#DIV/0!</v>
      </c>
      <c r="G43" s="9" t="e">
        <f t="shared" si="4"/>
        <v>#DIV/0!</v>
      </c>
      <c r="H43" s="9"/>
      <c r="I43" s="9"/>
      <c r="J43" s="9"/>
    </row>
    <row r="44" spans="1:10" x14ac:dyDescent="0.25">
      <c r="A44" s="19" t="s">
        <v>20</v>
      </c>
      <c r="B44" s="9">
        <f>(B15/B32)*100</f>
        <v>326.57749596327943</v>
      </c>
      <c r="C44" s="9" t="e">
        <f t="shared" ref="C44:G44" si="5">(C15/C32)*100</f>
        <v>#DIV/0!</v>
      </c>
      <c r="D44" s="9" t="e">
        <f t="shared" si="5"/>
        <v>#DIV/0!</v>
      </c>
      <c r="E44" s="9" t="e">
        <f t="shared" si="5"/>
        <v>#DIV/0!</v>
      </c>
      <c r="F44" s="9" t="e">
        <f t="shared" si="5"/>
        <v>#DIV/0!</v>
      </c>
      <c r="G44" s="9" t="e">
        <f t="shared" si="5"/>
        <v>#DIV/0!</v>
      </c>
      <c r="H44" s="9"/>
      <c r="I44" s="9"/>
      <c r="J44" s="9"/>
    </row>
    <row r="45" spans="1:10" x14ac:dyDescent="0.25">
      <c r="A45" s="19"/>
      <c r="B45" s="19"/>
      <c r="C45" s="19"/>
      <c r="D45" s="19"/>
      <c r="E45" s="19"/>
      <c r="F45" s="19"/>
      <c r="G45" s="19"/>
      <c r="H45" s="19"/>
      <c r="I45" s="19"/>
      <c r="J45" s="19"/>
    </row>
    <row r="46" spans="1:10" x14ac:dyDescent="0.25">
      <c r="A46" s="19" t="s">
        <v>21</v>
      </c>
      <c r="B46" s="19"/>
      <c r="C46" s="19"/>
      <c r="D46" s="19"/>
      <c r="E46" s="19"/>
      <c r="F46" s="19"/>
      <c r="G46" s="19"/>
      <c r="H46" s="19"/>
      <c r="I46" s="19"/>
      <c r="J46" s="19"/>
    </row>
    <row r="47" spans="1:10" x14ac:dyDescent="0.25">
      <c r="A47" s="19" t="s">
        <v>22</v>
      </c>
      <c r="B47" s="9">
        <f>B14/B12*100</f>
        <v>95.245104953293975</v>
      </c>
      <c r="C47" s="9">
        <f>C14/C12*100</f>
        <v>93.208950886370232</v>
      </c>
      <c r="D47" s="9"/>
      <c r="E47" s="9">
        <f>E14/E12*100</f>
        <v>95.948646268565284</v>
      </c>
      <c r="F47" s="9"/>
      <c r="G47" s="9">
        <f>G14/G12*100</f>
        <v>62.136193726637416</v>
      </c>
      <c r="H47" s="9"/>
      <c r="I47" s="9"/>
      <c r="J47" s="9"/>
    </row>
    <row r="48" spans="1:10" x14ac:dyDescent="0.25">
      <c r="A48" s="19" t="s">
        <v>23</v>
      </c>
      <c r="B48" s="9">
        <f>B21/B20*100</f>
        <v>91.417867533947984</v>
      </c>
      <c r="C48" s="9">
        <f>C21/(C20+D20)*100</f>
        <v>85.612292172367702</v>
      </c>
      <c r="D48" s="9"/>
      <c r="E48" s="9">
        <f>E21/E20*100</f>
        <v>80.304826129616956</v>
      </c>
      <c r="F48" s="9"/>
      <c r="G48" s="9">
        <f>G21/G20*100</f>
        <v>71.469861190945494</v>
      </c>
      <c r="H48" s="9"/>
      <c r="I48" s="9"/>
      <c r="J48" s="9"/>
    </row>
    <row r="49" spans="1:10" x14ac:dyDescent="0.25">
      <c r="A49" s="19" t="s">
        <v>24</v>
      </c>
      <c r="B49" s="9">
        <f>AVERAGE(B47:B48)</f>
        <v>93.331486243620986</v>
      </c>
      <c r="C49" s="9">
        <f t="shared" ref="C49:G49" si="6">AVERAGE(C47:C48)</f>
        <v>89.410621529368967</v>
      </c>
      <c r="D49" s="9"/>
      <c r="E49" s="9">
        <f t="shared" si="6"/>
        <v>88.126736199091113</v>
      </c>
      <c r="F49" s="9"/>
      <c r="G49" s="9">
        <f t="shared" si="6"/>
        <v>66.803027458791462</v>
      </c>
      <c r="H49" s="9"/>
      <c r="I49" s="9"/>
      <c r="J49" s="9"/>
    </row>
    <row r="50" spans="1:10" x14ac:dyDescent="0.25">
      <c r="A50" s="19"/>
      <c r="B50" s="9"/>
      <c r="C50" s="9"/>
      <c r="D50" s="9"/>
      <c r="E50" s="9"/>
      <c r="F50" s="9"/>
      <c r="G50" s="9"/>
      <c r="H50" s="9"/>
      <c r="I50" s="9"/>
      <c r="J50" s="9"/>
    </row>
    <row r="51" spans="1:10" x14ac:dyDescent="0.25">
      <c r="A51" s="19" t="s">
        <v>25</v>
      </c>
      <c r="B51" s="19"/>
      <c r="C51" s="19"/>
      <c r="D51" s="19"/>
      <c r="E51" s="19"/>
      <c r="F51" s="19"/>
      <c r="G51" s="19"/>
      <c r="H51" s="19"/>
      <c r="I51" s="19"/>
      <c r="J51" s="19"/>
    </row>
    <row r="52" spans="1:10" x14ac:dyDescent="0.25">
      <c r="A52" s="19" t="s">
        <v>26</v>
      </c>
      <c r="B52" s="9">
        <f>((B14/(B16*4/3))*100)</f>
        <v>162.06507936507936</v>
      </c>
      <c r="C52" s="9">
        <f>(((C14+D14)/((C16+D16)*4/3))*100)</f>
        <v>154.81283102068207</v>
      </c>
      <c r="D52" s="9">
        <f>((D14/(D16*4/3))*100)</f>
        <v>130.71456500488759</v>
      </c>
      <c r="E52" s="9">
        <f>(((E14+F14)/((E16+F16)*4/3))*100)</f>
        <v>153.78224109293609</v>
      </c>
      <c r="F52" s="9">
        <f>((F14/(F16*4/3))*100)</f>
        <v>138.45068384108836</v>
      </c>
      <c r="G52" s="9">
        <f>((G14/(G16*4/3))*100)</f>
        <v>108.73833902161547</v>
      </c>
      <c r="H52" s="9"/>
      <c r="I52" s="9"/>
      <c r="J52" s="9"/>
    </row>
    <row r="53" spans="1:10" x14ac:dyDescent="0.25">
      <c r="A53" s="19" t="s">
        <v>27</v>
      </c>
      <c r="B53" s="9">
        <f>B21/B22*100</f>
        <v>53.429341364584126</v>
      </c>
      <c r="C53" s="9">
        <f>C21/C22*100</f>
        <v>61.530948031585986</v>
      </c>
      <c r="D53" s="9"/>
      <c r="E53" s="9">
        <f>E21/E22*100</f>
        <v>58.801531196949121</v>
      </c>
      <c r="F53" s="9"/>
      <c r="G53" s="9">
        <f>G21/G22*100</f>
        <v>51.551716697559378</v>
      </c>
      <c r="H53" s="9"/>
      <c r="I53" s="9"/>
      <c r="J53" s="9"/>
    </row>
    <row r="54" spans="1:10" x14ac:dyDescent="0.25">
      <c r="A54" s="19" t="s">
        <v>28</v>
      </c>
      <c r="B54" s="9">
        <f>(B52+B53)/2</f>
        <v>107.74721036483174</v>
      </c>
      <c r="C54" s="9">
        <f t="shared" ref="C54:G54" si="7">(C52+C53)/2</f>
        <v>108.17188952613402</v>
      </c>
      <c r="D54" s="9"/>
      <c r="E54" s="9">
        <f t="shared" si="7"/>
        <v>106.29188614494261</v>
      </c>
      <c r="F54" s="9"/>
      <c r="G54" s="9">
        <f t="shared" si="7"/>
        <v>80.145027859587429</v>
      </c>
      <c r="H54" s="9"/>
      <c r="I54" s="9"/>
      <c r="J54" s="9"/>
    </row>
    <row r="55" spans="1:10" x14ac:dyDescent="0.25">
      <c r="A55" s="19"/>
      <c r="B55" s="9"/>
      <c r="C55" s="9"/>
      <c r="D55" s="9"/>
      <c r="E55" s="9"/>
      <c r="F55" s="9"/>
      <c r="G55" s="9"/>
      <c r="H55" s="9"/>
      <c r="I55" s="9"/>
      <c r="J55" s="9"/>
    </row>
    <row r="56" spans="1:10" x14ac:dyDescent="0.25">
      <c r="A56" s="19" t="s">
        <v>64</v>
      </c>
      <c r="B56" s="19"/>
      <c r="C56" s="19"/>
      <c r="D56" s="19"/>
      <c r="E56" s="19"/>
      <c r="F56" s="19"/>
      <c r="G56" s="19"/>
      <c r="H56" s="19"/>
      <c r="I56" s="19"/>
      <c r="J56" s="19"/>
    </row>
    <row r="57" spans="1:10" x14ac:dyDescent="0.25">
      <c r="A57" s="19" t="s">
        <v>29</v>
      </c>
      <c r="B57" s="9"/>
      <c r="C57" s="9"/>
      <c r="D57" s="9"/>
      <c r="E57" s="9"/>
      <c r="F57" s="9"/>
      <c r="G57" s="9"/>
      <c r="H57" s="9"/>
      <c r="I57" s="9"/>
      <c r="J57" s="9"/>
    </row>
    <row r="58" spans="1:10" x14ac:dyDescent="0.25">
      <c r="A58" s="19"/>
      <c r="B58" s="19"/>
      <c r="C58" s="19"/>
      <c r="D58" s="19"/>
      <c r="E58" s="19"/>
      <c r="F58" s="19"/>
      <c r="G58" s="19"/>
      <c r="H58" s="19"/>
      <c r="I58" s="19"/>
      <c r="J58" s="19"/>
    </row>
    <row r="59" spans="1:10" x14ac:dyDescent="0.25">
      <c r="A59" s="19" t="s">
        <v>30</v>
      </c>
      <c r="B59" s="19"/>
      <c r="C59" s="19"/>
      <c r="D59" s="19"/>
      <c r="E59" s="19"/>
      <c r="F59" s="19"/>
      <c r="G59" s="19"/>
      <c r="H59" s="19"/>
      <c r="I59" s="19"/>
      <c r="J59" s="19"/>
    </row>
    <row r="60" spans="1:10" x14ac:dyDescent="0.25">
      <c r="A60" s="19" t="s">
        <v>31</v>
      </c>
      <c r="B60" s="9">
        <f>((B14/B10)-1)*100</f>
        <v>8.4383082345184324</v>
      </c>
      <c r="C60" s="9">
        <f>((C14/C10)-1)*100</f>
        <v>12.342226059605155</v>
      </c>
      <c r="D60" s="9"/>
      <c r="E60" s="9">
        <f>((E14/E10)-1)*100</f>
        <v>7.1880442311845094</v>
      </c>
      <c r="F60" s="9"/>
      <c r="G60" s="9">
        <f>((G14/G10)-1)*100</f>
        <v>1.2392623740877795</v>
      </c>
      <c r="H60" s="9"/>
      <c r="I60" s="9"/>
      <c r="J60" s="9"/>
    </row>
    <row r="61" spans="1:10" x14ac:dyDescent="0.25">
      <c r="A61" s="19" t="s">
        <v>32</v>
      </c>
      <c r="B61" s="9">
        <f>((B36/B35)-1)*100</f>
        <v>37.385163040155845</v>
      </c>
      <c r="C61" s="9">
        <f t="shared" ref="C61:G61" si="8">((C36/C35)-1)*100</f>
        <v>23.667996029452464</v>
      </c>
      <c r="D61" s="9"/>
      <c r="E61" s="9">
        <f t="shared" si="8"/>
        <v>17.546444398529502</v>
      </c>
      <c r="F61" s="9"/>
      <c r="G61" s="9">
        <f t="shared" si="8"/>
        <v>36.158116439950817</v>
      </c>
      <c r="H61" s="9"/>
      <c r="I61" s="9"/>
      <c r="J61" s="9"/>
    </row>
    <row r="62" spans="1:10" x14ac:dyDescent="0.25">
      <c r="A62" s="19" t="s">
        <v>33</v>
      </c>
      <c r="B62" s="9">
        <f>((B38/B37)-1)*100</f>
        <v>26.694306907697541</v>
      </c>
      <c r="C62" s="9">
        <f t="shared" ref="C62:G62" si="9">((C38/C37)-1)*100</f>
        <v>9.6241002388105734</v>
      </c>
      <c r="D62" s="9"/>
      <c r="E62" s="9">
        <f t="shared" si="9"/>
        <v>10.164471140138364</v>
      </c>
      <c r="F62" s="9"/>
      <c r="G62" s="9">
        <f t="shared" si="9"/>
        <v>34.491414938242883</v>
      </c>
      <c r="H62" s="9"/>
      <c r="I62" s="9"/>
      <c r="J62" s="9"/>
    </row>
    <row r="63" spans="1:10" x14ac:dyDescent="0.25">
      <c r="A63" s="19"/>
      <c r="B63" s="9"/>
      <c r="C63" s="9"/>
      <c r="D63" s="9"/>
      <c r="E63" s="9"/>
      <c r="F63" s="9"/>
      <c r="G63" s="9"/>
      <c r="H63" s="9"/>
      <c r="I63" s="9"/>
      <c r="J63" s="9"/>
    </row>
    <row r="64" spans="1:10" x14ac:dyDescent="0.25">
      <c r="A64" s="19" t="s">
        <v>34</v>
      </c>
      <c r="B64" s="19"/>
      <c r="C64" s="19"/>
      <c r="D64" s="19"/>
      <c r="E64" s="19"/>
      <c r="F64" s="19"/>
      <c r="G64" s="19"/>
      <c r="H64" s="19"/>
      <c r="I64" s="19"/>
      <c r="J64" s="19"/>
    </row>
    <row r="65" spans="1:10" x14ac:dyDescent="0.25">
      <c r="A65" s="19" t="s">
        <v>35</v>
      </c>
      <c r="B65" s="5">
        <f>B20/(B12*9)</f>
        <v>3978.0396124112581</v>
      </c>
      <c r="C65" s="5">
        <f>C20/((C12+D12)*9)</f>
        <v>4539.8931073250878</v>
      </c>
      <c r="D65" s="5"/>
      <c r="E65" s="5">
        <f>E20/((E12+F12)*9)</f>
        <v>1641.2800644722886</v>
      </c>
      <c r="F65" s="5"/>
      <c r="G65" s="5">
        <f>G20/((G12)*9)</f>
        <v>8171.2497968470661</v>
      </c>
      <c r="H65" s="5"/>
      <c r="I65" s="5"/>
      <c r="J65" s="5"/>
    </row>
    <row r="66" spans="1:10" x14ac:dyDescent="0.25">
      <c r="A66" s="19" t="s">
        <v>36</v>
      </c>
      <c r="B66" s="5">
        <f>B21/(B14*9)</f>
        <v>3818.1899060381388</v>
      </c>
      <c r="C66" s="5">
        <f>C21/((C14+D14)*9)</f>
        <v>4348.1866767287811</v>
      </c>
      <c r="D66" s="5"/>
      <c r="E66" s="5">
        <f>E21/((E14+F14)*9)</f>
        <v>1461.5262726897129</v>
      </c>
      <c r="F66" s="5"/>
      <c r="G66" s="5">
        <f>G21/((G14)*9)</f>
        <v>9398.6781891798582</v>
      </c>
      <c r="H66" s="5"/>
      <c r="I66" s="5"/>
      <c r="J66" s="5"/>
    </row>
    <row r="67" spans="1:10" x14ac:dyDescent="0.25">
      <c r="A67" s="19" t="s">
        <v>37</v>
      </c>
      <c r="B67" s="9">
        <f>(B65/B66)*B49</f>
        <v>97.238837904630955</v>
      </c>
      <c r="C67" s="9">
        <f>(C65/C66)*C49</f>
        <v>93.352630551780067</v>
      </c>
      <c r="D67" s="9"/>
      <c r="E67" s="9">
        <f>(E65/E66)*E49</f>
        <v>98.965484215612435</v>
      </c>
      <c r="F67" s="9"/>
      <c r="G67" s="9">
        <f>(G65/G66)*G49</f>
        <v>58.078829125125267</v>
      </c>
      <c r="H67" s="9"/>
      <c r="I67" s="9"/>
      <c r="J67" s="9"/>
    </row>
    <row r="68" spans="1:10" x14ac:dyDescent="0.25">
      <c r="A68" s="19" t="s">
        <v>65</v>
      </c>
      <c r="B68" s="17">
        <f>B20/B12</f>
        <v>35802.35651170132</v>
      </c>
      <c r="C68" s="17">
        <f>C20/(C12+D12)</f>
        <v>40859.037965925796</v>
      </c>
      <c r="D68" s="17"/>
      <c r="E68" s="17">
        <f t="shared" ref="E68" si="10">E20/(E12+F12)</f>
        <v>14771.520580250599</v>
      </c>
      <c r="F68" s="17"/>
      <c r="G68" s="17">
        <f>G20/(G12)</f>
        <v>73541.248171623592</v>
      </c>
      <c r="H68" s="17"/>
      <c r="I68" s="17"/>
      <c r="J68" s="17"/>
    </row>
    <row r="69" spans="1:10" x14ac:dyDescent="0.25">
      <c r="A69" s="19" t="s">
        <v>66</v>
      </c>
      <c r="B69" s="17">
        <f>B21/B14</f>
        <v>34363.709154343247</v>
      </c>
      <c r="C69" s="17">
        <f>C21/(C14+D14)</f>
        <v>39133.680090559028</v>
      </c>
      <c r="D69" s="17"/>
      <c r="E69" s="17">
        <f t="shared" ref="E69" si="11">E21/(E14+F14)</f>
        <v>13153.736454207416</v>
      </c>
      <c r="F69" s="17"/>
      <c r="G69" s="17">
        <f>G21/(G14)</f>
        <v>84588.103702618726</v>
      </c>
      <c r="H69" s="17"/>
      <c r="I69" s="17"/>
      <c r="J69" s="17"/>
    </row>
    <row r="70" spans="1:10" x14ac:dyDescent="0.25">
      <c r="A70" s="19"/>
      <c r="B70" s="9"/>
      <c r="C70" s="9"/>
      <c r="D70" s="9"/>
      <c r="E70" s="9"/>
      <c r="F70" s="9"/>
      <c r="G70" s="9"/>
      <c r="H70" s="9"/>
      <c r="I70" s="9"/>
      <c r="J70" s="9"/>
    </row>
    <row r="71" spans="1:10" x14ac:dyDescent="0.25">
      <c r="A71" s="19" t="s">
        <v>38</v>
      </c>
      <c r="B71" s="9"/>
      <c r="C71" s="9"/>
      <c r="D71" s="9"/>
      <c r="E71" s="9"/>
      <c r="F71" s="9"/>
      <c r="G71" s="9"/>
      <c r="H71" s="9"/>
      <c r="I71" s="9"/>
      <c r="J71" s="9"/>
    </row>
    <row r="72" spans="1:10" x14ac:dyDescent="0.25">
      <c r="A72" s="19" t="s">
        <v>39</v>
      </c>
      <c r="B72" s="9">
        <f>(B27/B26)*100</f>
        <v>100.68961851755527</v>
      </c>
      <c r="C72" s="9"/>
      <c r="D72" s="9"/>
      <c r="E72" s="9"/>
      <c r="F72" s="9"/>
      <c r="G72" s="9"/>
      <c r="H72" s="9"/>
      <c r="I72" s="9"/>
      <c r="J72" s="9"/>
    </row>
    <row r="73" spans="1:10" x14ac:dyDescent="0.25">
      <c r="A73" s="19" t="s">
        <v>40</v>
      </c>
      <c r="B73" s="9">
        <f>(B21/B27)*100</f>
        <v>90.791750807963624</v>
      </c>
      <c r="C73" s="9"/>
      <c r="D73" s="9"/>
      <c r="E73" s="9"/>
      <c r="F73" s="9"/>
      <c r="G73" s="9"/>
      <c r="H73" s="9"/>
      <c r="I73" s="9"/>
      <c r="J73" s="9"/>
    </row>
    <row r="74" spans="1:10" ht="15.75" thickBot="1" x14ac:dyDescent="0.3">
      <c r="A74" s="36"/>
      <c r="B74" s="36"/>
      <c r="C74" s="36"/>
      <c r="D74" s="36"/>
      <c r="E74" s="36"/>
      <c r="F74" s="36"/>
      <c r="G74" s="36"/>
      <c r="H74" s="36"/>
      <c r="I74" s="36"/>
      <c r="J74" s="36"/>
    </row>
    <row r="75" spans="1:10" ht="15.75" thickTop="1" x14ac:dyDescent="0.25">
      <c r="A75" s="20" t="s">
        <v>90</v>
      </c>
    </row>
    <row r="76" spans="1:10" x14ac:dyDescent="0.25">
      <c r="A76" t="s">
        <v>128</v>
      </c>
    </row>
    <row r="77" spans="1:10" x14ac:dyDescent="0.25">
      <c r="A77" t="s">
        <v>91</v>
      </c>
    </row>
    <row r="78" spans="1:10" x14ac:dyDescent="0.25">
      <c r="A78" t="s">
        <v>67</v>
      </c>
      <c r="B78" s="11"/>
      <c r="C78" s="11"/>
      <c r="D78" s="11"/>
      <c r="E78" s="11"/>
      <c r="F78" s="11"/>
    </row>
    <row r="79" spans="1:10" x14ac:dyDescent="0.25">
      <c r="A79" t="s">
        <v>81</v>
      </c>
    </row>
    <row r="80" spans="1:10" x14ac:dyDescent="0.25">
      <c r="A80" t="s">
        <v>76</v>
      </c>
    </row>
    <row r="81" spans="1:1" x14ac:dyDescent="0.25">
      <c r="A81" t="s">
        <v>75</v>
      </c>
    </row>
  </sheetData>
  <mergeCells count="17">
    <mergeCell ref="A2:G2"/>
    <mergeCell ref="A4:A5"/>
    <mergeCell ref="C5:D5"/>
    <mergeCell ref="E5:F5"/>
    <mergeCell ref="C4:H4"/>
    <mergeCell ref="J4:J5"/>
    <mergeCell ref="C23:D23"/>
    <mergeCell ref="E23:F23"/>
    <mergeCell ref="C19:D19"/>
    <mergeCell ref="E19:F19"/>
    <mergeCell ref="I4:I5"/>
    <mergeCell ref="C20:D20"/>
    <mergeCell ref="C21:D21"/>
    <mergeCell ref="C22:D22"/>
    <mergeCell ref="E20:F20"/>
    <mergeCell ref="E21:F21"/>
    <mergeCell ref="E22:F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tabSelected="1" topLeftCell="A10" zoomScale="80" zoomScaleNormal="80" workbookViewId="0">
      <selection activeCell="C13" sqref="C13"/>
    </sheetView>
  </sheetViews>
  <sheetFormatPr baseColWidth="10" defaultColWidth="11.42578125" defaultRowHeight="15" x14ac:dyDescent="0.25"/>
  <cols>
    <col min="1" max="1" width="55.140625" customWidth="1"/>
    <col min="2" max="2" width="19.7109375" bestFit="1" customWidth="1"/>
    <col min="3" max="4" width="16.5703125" customWidth="1"/>
    <col min="5" max="6" width="17.42578125" customWidth="1"/>
    <col min="7" max="7" width="18.5703125" customWidth="1"/>
    <col min="8" max="8" width="13.85546875" bestFit="1" customWidth="1"/>
    <col min="9" max="9" width="14.5703125" customWidth="1"/>
    <col min="10" max="10" width="15.140625" bestFit="1" customWidth="1"/>
  </cols>
  <sheetData>
    <row r="1" spans="1:10" x14ac:dyDescent="0.25">
      <c r="E1" s="24"/>
    </row>
    <row r="2" spans="1:10" ht="15.75" x14ac:dyDescent="0.25">
      <c r="A2" s="47" t="s">
        <v>121</v>
      </c>
      <c r="B2" s="47"/>
      <c r="C2" s="47"/>
      <c r="D2" s="47"/>
      <c r="E2" s="47"/>
      <c r="F2" s="47"/>
      <c r="G2" s="47"/>
    </row>
    <row r="4" spans="1:10" x14ac:dyDescent="0.25">
      <c r="A4" s="45" t="s">
        <v>0</v>
      </c>
      <c r="B4" s="14" t="s">
        <v>1</v>
      </c>
      <c r="C4" s="49" t="s">
        <v>2</v>
      </c>
      <c r="D4" s="49"/>
      <c r="E4" s="49"/>
      <c r="F4" s="49"/>
      <c r="G4" s="49"/>
      <c r="H4" s="49"/>
      <c r="I4" s="45" t="s">
        <v>130</v>
      </c>
      <c r="J4" s="45" t="s">
        <v>77</v>
      </c>
    </row>
    <row r="5" spans="1:10" ht="15.75" thickBot="1" x14ac:dyDescent="0.3">
      <c r="A5" s="46"/>
      <c r="B5" s="1" t="s">
        <v>3</v>
      </c>
      <c r="C5" s="48" t="s">
        <v>4</v>
      </c>
      <c r="D5" s="48"/>
      <c r="E5" s="48" t="s">
        <v>79</v>
      </c>
      <c r="F5" s="48"/>
      <c r="G5" s="1" t="s">
        <v>5</v>
      </c>
      <c r="H5" s="10" t="s">
        <v>78</v>
      </c>
      <c r="I5" s="46"/>
      <c r="J5" s="46"/>
    </row>
    <row r="6" spans="1:10" ht="15.75" thickTop="1" x14ac:dyDescent="0.25">
      <c r="B6" t="s">
        <v>1</v>
      </c>
      <c r="C6" s="22" t="s">
        <v>72</v>
      </c>
      <c r="D6" s="22" t="s">
        <v>73</v>
      </c>
      <c r="E6" s="22">
        <v>1600</v>
      </c>
      <c r="F6" s="22" t="s">
        <v>74</v>
      </c>
      <c r="G6" s="22" t="s">
        <v>5</v>
      </c>
    </row>
    <row r="7" spans="1:10" x14ac:dyDescent="0.25">
      <c r="A7" s="2" t="s">
        <v>6</v>
      </c>
    </row>
    <row r="9" spans="1:10" x14ac:dyDescent="0.25">
      <c r="A9" t="s">
        <v>7</v>
      </c>
    </row>
    <row r="10" spans="1:10" x14ac:dyDescent="0.25">
      <c r="A10" s="3" t="s">
        <v>49</v>
      </c>
      <c r="B10" s="13">
        <f>+C10+E10</f>
        <v>372413.75</v>
      </c>
      <c r="C10" s="13">
        <f>+'I Trimestre'!C10+'II Trimestre'!C10+'III Trimestre'!C10+'IV Trimestre'!C10/4</f>
        <v>89481.083333333328</v>
      </c>
      <c r="D10" s="13">
        <f>+'I Trimestre'!D10+'II Trimestre'!D10+'III Trimestre'!D10+'IV Trimestre'!D10/4</f>
        <v>19638.166666666664</v>
      </c>
      <c r="E10" s="13">
        <f>+'I Trimestre'!E10+'II Trimestre'!E10+'III Trimestre'!E10+'IV Trimestre'!E10/4</f>
        <v>282932.66666666669</v>
      </c>
      <c r="F10" s="13">
        <f>+'I Trimestre'!F10+'II Trimestre'!F10+'III Trimestre'!F10+'IV Trimestre'!F10/4</f>
        <v>135265.41666666666</v>
      </c>
      <c r="G10" s="13">
        <f>+'I Trimestre'!G10+'II Trimestre'!G10+'III Trimestre'!G10+'IV Trimestre'!G10/4</f>
        <v>16917.75</v>
      </c>
    </row>
    <row r="11" spans="1:10" x14ac:dyDescent="0.25">
      <c r="A11" s="16" t="s">
        <v>61</v>
      </c>
      <c r="B11" s="13">
        <f t="shared" ref="B11:B15" si="0">+C11+E11</f>
        <v>312765.24409907061</v>
      </c>
      <c r="C11" s="13">
        <f>+'I Trimestre'!C11+'II Trimestre'!C11+'III Trimestre'!C11+'IV Trimestre'!C11/4</f>
        <v>73149.083333333328</v>
      </c>
      <c r="D11" s="13">
        <f>+'I Trimestre'!D11+'II Trimestre'!D11+'III Trimestre'!D11+'IV Trimestre'!D11/4</f>
        <v>19638.166666666664</v>
      </c>
      <c r="E11" s="13">
        <f>+'I Trimestre'!E11+'II Trimestre'!E11+'III Trimestre'!E11+'IV Trimestre'!E11/4</f>
        <v>239616.1607657373</v>
      </c>
      <c r="F11" s="13">
        <f>+'I Trimestre'!F11+'II Trimestre'!F11+'III Trimestre'!F11+'IV Trimestre'!F11/4</f>
        <v>135265.41666666666</v>
      </c>
      <c r="G11" s="13">
        <f>+'I Trimestre'!G11+'II Trimestre'!G11+'III Trimestre'!G11+'IV Trimestre'!G11/4</f>
        <v>16917.75</v>
      </c>
    </row>
    <row r="12" spans="1:10" x14ac:dyDescent="0.25">
      <c r="A12" s="3" t="s">
        <v>122</v>
      </c>
      <c r="B12" s="13">
        <f t="shared" si="0"/>
        <v>421325.5</v>
      </c>
      <c r="C12" s="13">
        <f>+'I Trimestre'!C12+'II Trimestre'!C12+'III Trimestre'!C12+'IV Trimestre'!C12/4</f>
        <v>105645</v>
      </c>
      <c r="D12" s="13">
        <f>+'I Trimestre'!D12+'II Trimestre'!D12+'III Trimestre'!D12+'IV Trimestre'!D12/4</f>
        <v>27706.25</v>
      </c>
      <c r="E12" s="13">
        <f>+'I Trimestre'!E12+'II Trimestre'!E12+'III Trimestre'!E12+'IV Trimestre'!E12/4</f>
        <v>315680.5</v>
      </c>
      <c r="F12" s="13">
        <f>+'I Trimestre'!F12+'II Trimestre'!F12+'III Trimestre'!F12+'IV Trimestre'!F12/4</f>
        <v>175877.25</v>
      </c>
      <c r="G12" s="13">
        <f>+'I Trimestre'!G12+'II Trimestre'!G12+'III Trimestre'!G12+'IV Trimestre'!G12/4</f>
        <v>23806.25</v>
      </c>
    </row>
    <row r="13" spans="1:10" x14ac:dyDescent="0.25">
      <c r="A13" s="16" t="s">
        <v>61</v>
      </c>
      <c r="B13" s="13">
        <f t="shared" si="0"/>
        <v>401041</v>
      </c>
      <c r="C13" s="13">
        <f>+'I Trimestre'!C13+'II Trimestre'!C13+'III Trimestre'!C13+'IV Trimestre'!C13/4</f>
        <v>85360.5</v>
      </c>
      <c r="D13" s="13">
        <f>+'I Trimestre'!D13+'II Trimestre'!D13+'III Trimestre'!D13+'IV Trimestre'!D13/4</f>
        <v>27706.25</v>
      </c>
      <c r="E13" s="13">
        <f>+'I Trimestre'!E13+'II Trimestre'!E13+'III Trimestre'!E13+'IV Trimestre'!E13/4</f>
        <v>315680.5</v>
      </c>
      <c r="F13" s="13">
        <f>+'I Trimestre'!F13+'II Trimestre'!F13+'III Trimestre'!F13+'IV Trimestre'!F13/4</f>
        <v>175877.25</v>
      </c>
      <c r="G13" s="13">
        <f>+'I Trimestre'!G13+'II Trimestre'!G13+'III Trimestre'!G13+'IV Trimestre'!G13/4</f>
        <v>23806.25</v>
      </c>
    </row>
    <row r="14" spans="1:10" x14ac:dyDescent="0.25">
      <c r="A14" s="3" t="s">
        <v>123</v>
      </c>
      <c r="B14" s="13">
        <f t="shared" si="0"/>
        <v>403877.33333333337</v>
      </c>
      <c r="C14" s="13">
        <f>+'I Trimestre'!C14+'II Trimestre'!C14+'III Trimestre'!C14+'IV Trimestre'!C14/4</f>
        <v>102457.58333333334</v>
      </c>
      <c r="D14" s="13">
        <f>+'I Trimestre'!D14+'II Trimestre'!D14+'III Trimestre'!D14+'IV Trimestre'!D14/4</f>
        <v>21274.25</v>
      </c>
      <c r="E14" s="13">
        <f>+'I Trimestre'!E14+'II Trimestre'!E14+'III Trimestre'!E14+'IV Trimestre'!E14/4</f>
        <v>301419.75</v>
      </c>
      <c r="F14" s="13">
        <f>+'I Trimestre'!F14+'II Trimestre'!F14+'III Trimestre'!F14+'IV Trimestre'!F14/4</f>
        <v>147618.5</v>
      </c>
      <c r="G14" s="13">
        <f>+'I Trimestre'!G14+'II Trimestre'!G14+'III Trimestre'!G14+'IV Trimestre'!G14/4</f>
        <v>17449.416666666668</v>
      </c>
    </row>
    <row r="15" spans="1:10" x14ac:dyDescent="0.25">
      <c r="A15" s="16" t="s">
        <v>61</v>
      </c>
      <c r="B15" s="13">
        <f t="shared" si="0"/>
        <v>338845.25</v>
      </c>
      <c r="C15" s="13">
        <f>+'I Trimestre'!C15+'II Trimestre'!C15+'III Trimestre'!C15+'IV Trimestre'!C15/4</f>
        <v>84359.333333333328</v>
      </c>
      <c r="D15" s="13">
        <f>+'I Trimestre'!D15+'II Trimestre'!D15+'III Trimestre'!D15+'IV Trimestre'!D15/4</f>
        <v>21274.25</v>
      </c>
      <c r="E15" s="13">
        <f>+'I Trimestre'!E15+'II Trimestre'!E15+'III Trimestre'!E15+'IV Trimestre'!E15/4</f>
        <v>254485.91666666666</v>
      </c>
      <c r="F15" s="13">
        <f>+'I Trimestre'!F15+'II Trimestre'!F15+'III Trimestre'!F15+'IV Trimestre'!F15/4</f>
        <v>147618.75</v>
      </c>
      <c r="G15" s="13">
        <f>+'I Trimestre'!G15+'II Trimestre'!G15+'III Trimestre'!G15+'IV Trimestre'!G15/4</f>
        <v>17449.416666666668</v>
      </c>
    </row>
    <row r="16" spans="1:10" x14ac:dyDescent="0.25">
      <c r="A16" s="3" t="s">
        <v>85</v>
      </c>
      <c r="B16" s="13">
        <f>+C16+E16</f>
        <v>131250</v>
      </c>
      <c r="C16" s="4">
        <f>+'IV Trimestre'!C16</f>
        <v>33202</v>
      </c>
      <c r="D16" s="4">
        <f>+'IV Trimestre'!D16</f>
        <v>8525</v>
      </c>
      <c r="E16" s="4">
        <f>+'IV Trimestre'!E16</f>
        <v>98048</v>
      </c>
      <c r="F16" s="4">
        <f>+'IV Trimestre'!F16</f>
        <v>55276</v>
      </c>
      <c r="G16" s="4">
        <f>+'IV Trimestre'!G16</f>
        <v>7325</v>
      </c>
    </row>
    <row r="17" spans="1:10" x14ac:dyDescent="0.25">
      <c r="B17" s="12"/>
      <c r="C17" s="12"/>
      <c r="D17" s="12"/>
      <c r="E17" s="12"/>
      <c r="F17" s="12"/>
      <c r="G17" s="12"/>
    </row>
    <row r="18" spans="1:10" x14ac:dyDescent="0.25">
      <c r="A18" s="6" t="s">
        <v>9</v>
      </c>
      <c r="B18" s="12"/>
      <c r="C18" s="12"/>
      <c r="D18" s="12"/>
      <c r="E18" s="12"/>
      <c r="F18" s="12"/>
      <c r="G18" s="12"/>
    </row>
    <row r="19" spans="1:10" x14ac:dyDescent="0.25">
      <c r="A19" s="3" t="s">
        <v>49</v>
      </c>
      <c r="B19" s="13">
        <f>SUM(C19:J19)</f>
        <v>10864032527.690001</v>
      </c>
      <c r="C19" s="58">
        <f>+'I Trimestre'!C19:D19+'II Trimestre'!C19:D19+'III Trimestre'!C19:D19+'IV Trimestre'!C19:D19</f>
        <v>4048087458</v>
      </c>
      <c r="D19" s="58"/>
      <c r="E19" s="58">
        <f>+'I Trimestre'!E19:F19+'II Trimestre'!E19:F19+'III Trimestre'!E19:F19+'IV Trimestre'!E19:F19</f>
        <v>5988471140</v>
      </c>
      <c r="F19" s="58"/>
      <c r="G19" s="13">
        <f>+'I Trimestre'!G19+'II Trimestre'!G19+'III Trimestre'!G19+'IV Trimestre'!H19</f>
        <v>644868495.60000002</v>
      </c>
      <c r="H19" s="13">
        <f>+'I Trimestre'!H19+'II Trimestre'!H19+'III Trimestre'!H19+'IV Trimestre'!I19</f>
        <v>0</v>
      </c>
      <c r="I19" s="13" t="s">
        <v>131</v>
      </c>
      <c r="J19" s="13">
        <f>+'I Trimestre'!J19+'II Trimestre'!J19+'III Trimestre'!J19+'IV Trimestre'!K19</f>
        <v>182605434.08999997</v>
      </c>
    </row>
    <row r="20" spans="1:10" x14ac:dyDescent="0.25">
      <c r="A20" s="3" t="s">
        <v>122</v>
      </c>
      <c r="B20" s="13">
        <f t="shared" ref="B20:B23" si="1">SUM(C20:J20)</f>
        <v>14020503019.440001</v>
      </c>
      <c r="C20" s="58">
        <f>+'I Trimestre'!C20:D20+'II Trimestre'!C20:D20+'III Trimestre'!C20:D20+'IV Trimestre'!C20:D20</f>
        <v>5413524600</v>
      </c>
      <c r="D20" s="58"/>
      <c r="E20" s="58">
        <f>+'I Trimestre'!E20:F20+'II Trimestre'!E20:F20+'III Trimestre'!E20:F20+'IV Trimestre'!E20:F20</f>
        <v>7032594294.4400005</v>
      </c>
      <c r="F20" s="58"/>
      <c r="G20" s="13">
        <f>+'I Trimestre'!G20+'II Trimestre'!G20+'III Trimestre'!G20+'IV Trimestre'!H20</f>
        <v>1256942500</v>
      </c>
      <c r="H20" s="13">
        <f>+'I Trimestre'!H20+'II Trimestre'!H20+'III Trimestre'!H20+'IV Trimestre'!I20</f>
        <v>0</v>
      </c>
      <c r="I20" s="13">
        <f>+'I Trimestre'!I20+'II Trimestre'!I20+'III Trimestre'!I20+'IV Trimestre'!J20</f>
        <v>317441625</v>
      </c>
      <c r="J20" s="13">
        <f>+'I Trimestre'!J20+'II Trimestre'!J20+'III Trimestre'!J20+'IV Trimestre'!K20</f>
        <v>0</v>
      </c>
    </row>
    <row r="21" spans="1:10" x14ac:dyDescent="0.25">
      <c r="A21" s="3" t="s">
        <v>123</v>
      </c>
      <c r="B21" s="13">
        <f>SUM(C21:J21)</f>
        <v>13501375509.91</v>
      </c>
      <c r="C21" s="58">
        <f>+'I Trimestre'!C21:D21+'II Trimestre'!C21:D21+'III Trimestre'!C21:D21+'IV Trimestre'!C21:D21</f>
        <v>3860755709</v>
      </c>
      <c r="D21" s="58"/>
      <c r="E21" s="58">
        <f>+'I Trimestre'!E21:F21+'II Trimestre'!E21:F21+'III Trimestre'!E21:F21+'IV Trimestre'!E21:F21</f>
        <v>6876128428</v>
      </c>
      <c r="F21" s="58"/>
      <c r="G21" s="13">
        <f>+'I Trimestre'!G21+'II Trimestre'!G21+'III Trimestre'!G21+'IV Trimestre'!H21</f>
        <v>1093763520</v>
      </c>
      <c r="H21" s="13">
        <f>+'I Trimestre'!H21+'II Trimestre'!H21+'III Trimestre'!H21+'IV Trimestre'!I21</f>
        <v>363941310</v>
      </c>
      <c r="I21" s="13">
        <f>+'I Trimestre'!I21+'II Trimestre'!I21+'III Trimestre'!I21+'IV Trimestre'!J21</f>
        <v>553876290</v>
      </c>
      <c r="J21" s="13">
        <f>+'I Trimestre'!J21+'II Trimestre'!J21+'III Trimestre'!J21+'IV Trimestre'!K21</f>
        <v>752910252.90999997</v>
      </c>
    </row>
    <row r="22" spans="1:10" x14ac:dyDescent="0.25">
      <c r="A22" s="3" t="s">
        <v>85</v>
      </c>
      <c r="B22" s="13">
        <f t="shared" si="1"/>
        <v>16960666054.889997</v>
      </c>
      <c r="C22" s="58">
        <f>+'IV Trimestre'!C22+'IV Trimestre'!D22</f>
        <v>5477973600</v>
      </c>
      <c r="D22" s="58"/>
      <c r="E22" s="58">
        <f>+'IV Trimestre'!E22</f>
        <v>7032594294.4399996</v>
      </c>
      <c r="F22" s="58"/>
      <c r="G22" s="13">
        <f>+'IV Trimestre'!G22</f>
        <v>1742590000</v>
      </c>
      <c r="H22" s="13">
        <f>+'IV Trimestre'!H22</f>
        <v>0</v>
      </c>
      <c r="I22" s="13">
        <f>+'IV Trimestre'!I22</f>
        <v>317441625.56</v>
      </c>
      <c r="J22" s="13">
        <f>+'IV Trimestre'!J22</f>
        <v>2390066534.8899999</v>
      </c>
    </row>
    <row r="23" spans="1:10" x14ac:dyDescent="0.25">
      <c r="A23" s="30" t="s">
        <v>124</v>
      </c>
      <c r="B23" s="25">
        <f t="shared" si="1"/>
        <v>0</v>
      </c>
      <c r="C23" s="59">
        <f>+'I Trimestre'!C23:D23+'II Trimestre'!C23:D23+'III Trimestre'!C23:D23+'IV Trimestre'!C23:D23</f>
        <v>0</v>
      </c>
      <c r="D23" s="59"/>
      <c r="E23" s="59">
        <f>+'I Trimestre'!E23:F23+'II Trimestre'!E23:F23+'III Trimestre'!E23:F23+'IV Trimestre'!E23:F23</f>
        <v>0</v>
      </c>
      <c r="F23" s="59"/>
      <c r="G23" s="23">
        <f>+'I Trimestre'!G23+'II Trimestre'!G23+'III Trimestre'!G23+'IV Trimestre'!H23</f>
        <v>0</v>
      </c>
      <c r="H23" s="23">
        <f>+'I Trimestre'!H23+'II Trimestre'!H23+'III Trimestre'!H23+'IV Trimestre'!I23</f>
        <v>0</v>
      </c>
      <c r="I23" s="23">
        <f>+'I Trimestre'!I23+'II Trimestre'!I23+'III Trimestre'!I23+'IV Trimestre'!J23</f>
        <v>0</v>
      </c>
      <c r="J23" s="23">
        <f>+'I Trimestre'!J23+'II Trimestre'!J23+'III Trimestre'!J23+'IV Trimestre'!K23</f>
        <v>0</v>
      </c>
    </row>
    <row r="24" spans="1:10" x14ac:dyDescent="0.25">
      <c r="A24" s="19"/>
      <c r="B24" s="25"/>
      <c r="C24" s="25"/>
      <c r="D24" s="25"/>
      <c r="E24" s="25"/>
      <c r="F24" s="25"/>
      <c r="G24" s="25"/>
      <c r="H24" s="19"/>
      <c r="I24" s="19"/>
      <c r="J24" s="19"/>
    </row>
    <row r="25" spans="1:10" x14ac:dyDescent="0.25">
      <c r="A25" s="29" t="s">
        <v>10</v>
      </c>
      <c r="B25" s="25"/>
      <c r="C25" s="25"/>
      <c r="D25" s="25"/>
      <c r="E25" s="25"/>
      <c r="F25" s="25"/>
      <c r="G25" s="25"/>
      <c r="H25" s="25"/>
      <c r="I25" s="25"/>
      <c r="J25" s="25"/>
    </row>
    <row r="26" spans="1:10" x14ac:dyDescent="0.25">
      <c r="A26" s="30" t="s">
        <v>122</v>
      </c>
      <c r="B26" s="25">
        <f>+B20</f>
        <v>14020503019.440001</v>
      </c>
      <c r="C26" s="25"/>
      <c r="D26" s="25"/>
      <c r="E26" s="25"/>
      <c r="F26" s="25"/>
      <c r="G26" s="25"/>
      <c r="H26" s="25"/>
      <c r="I26" s="25"/>
      <c r="J26" s="25"/>
    </row>
    <row r="27" spans="1:10" x14ac:dyDescent="0.25">
      <c r="A27" s="30" t="s">
        <v>123</v>
      </c>
      <c r="B27" s="25">
        <f>+'I Trimestre'!B27+'II Trimestre'!B27+'III Trimestre'!B27+'IV Trimestre'!B27</f>
        <v>15316592197.619999</v>
      </c>
      <c r="C27" s="25"/>
      <c r="D27" s="25"/>
      <c r="E27" s="25"/>
      <c r="F27" s="25"/>
      <c r="G27" s="25"/>
      <c r="H27" s="25"/>
      <c r="I27" s="25"/>
      <c r="J27" s="25"/>
    </row>
    <row r="28" spans="1:10" x14ac:dyDescent="0.25">
      <c r="A28" s="19"/>
      <c r="B28" s="19"/>
      <c r="C28" s="19"/>
      <c r="D28" s="19"/>
      <c r="E28" s="19"/>
      <c r="F28" s="19"/>
      <c r="G28" s="19"/>
      <c r="H28" s="19"/>
      <c r="I28" s="19"/>
      <c r="J28" s="19"/>
    </row>
    <row r="29" spans="1:10" x14ac:dyDescent="0.25">
      <c r="A29" s="19" t="s">
        <v>11</v>
      </c>
      <c r="B29" s="19"/>
      <c r="C29" s="19"/>
      <c r="D29" s="19"/>
      <c r="E29" s="19"/>
      <c r="F29" s="19"/>
      <c r="G29" s="19"/>
      <c r="H29" s="19"/>
      <c r="I29" s="19"/>
      <c r="J29" s="19"/>
    </row>
    <row r="30" spans="1:10" x14ac:dyDescent="0.25">
      <c r="A30" s="30" t="s">
        <v>50</v>
      </c>
      <c r="B30" s="31">
        <v>1.4683304717083334</v>
      </c>
      <c r="C30" s="31">
        <v>1.4683304717083334</v>
      </c>
      <c r="D30" s="31">
        <v>1.4683304717083334</v>
      </c>
      <c r="E30" s="31">
        <v>1.4683304717083334</v>
      </c>
      <c r="F30" s="31">
        <v>1.4683304717083334</v>
      </c>
      <c r="G30" s="31">
        <v>1.4683304717083334</v>
      </c>
      <c r="H30" s="31">
        <v>1.4683304717083334</v>
      </c>
      <c r="I30" s="31"/>
      <c r="J30" s="31">
        <v>1.4683304717083334</v>
      </c>
    </row>
    <row r="31" spans="1:10" x14ac:dyDescent="0.25">
      <c r="A31" s="30" t="s">
        <v>125</v>
      </c>
      <c r="B31" s="31">
        <v>1.53</v>
      </c>
      <c r="C31" s="31">
        <v>1.53</v>
      </c>
      <c r="D31" s="31">
        <v>1.53</v>
      </c>
      <c r="E31" s="31">
        <v>1.53</v>
      </c>
      <c r="F31" s="31">
        <v>1.53</v>
      </c>
      <c r="G31" s="31">
        <v>1.53</v>
      </c>
      <c r="H31" s="31">
        <v>1.53</v>
      </c>
      <c r="I31" s="31"/>
      <c r="J31" s="31">
        <v>1.53</v>
      </c>
    </row>
    <row r="32" spans="1:10" x14ac:dyDescent="0.25">
      <c r="A32" s="30" t="s">
        <v>13</v>
      </c>
      <c r="B32" s="5">
        <v>73492</v>
      </c>
      <c r="C32" s="5"/>
      <c r="D32" s="5"/>
      <c r="E32" s="5"/>
      <c r="F32" s="5"/>
      <c r="G32" s="5"/>
      <c r="H32" s="5"/>
      <c r="I32" s="5"/>
      <c r="J32" s="5"/>
    </row>
    <row r="33" spans="1:10" x14ac:dyDescent="0.25">
      <c r="A33" s="19"/>
      <c r="B33" s="19"/>
      <c r="C33" s="19"/>
      <c r="D33" s="19"/>
      <c r="E33" s="19"/>
      <c r="F33" s="19"/>
      <c r="G33" s="19"/>
      <c r="H33" s="19"/>
      <c r="I33" s="19"/>
      <c r="J33" s="19"/>
    </row>
    <row r="34" spans="1:10" x14ac:dyDescent="0.25">
      <c r="A34" s="32" t="s">
        <v>14</v>
      </c>
      <c r="B34" s="19"/>
      <c r="C34" s="19"/>
      <c r="D34" s="19"/>
      <c r="E34" s="19"/>
      <c r="F34" s="19"/>
      <c r="G34" s="19"/>
      <c r="H34" s="19"/>
      <c r="I34" s="19"/>
      <c r="J34" s="19"/>
    </row>
    <row r="35" spans="1:10" x14ac:dyDescent="0.25">
      <c r="A35" s="19" t="s">
        <v>51</v>
      </c>
      <c r="B35" s="5">
        <f>B19/B30</f>
        <v>7398901498.6866064</v>
      </c>
      <c r="C35" s="5">
        <f t="shared" ref="C35:G36" si="2">C19/C30</f>
        <v>2756932132.1039128</v>
      </c>
      <c r="D35" s="5"/>
      <c r="E35" s="5">
        <f t="shared" si="2"/>
        <v>4078421891.6554227</v>
      </c>
      <c r="F35" s="5"/>
      <c r="G35" s="5">
        <f t="shared" si="2"/>
        <v>439184848.3875199</v>
      </c>
      <c r="H35" s="5"/>
      <c r="I35" s="5"/>
      <c r="J35" s="5"/>
    </row>
    <row r="36" spans="1:10" x14ac:dyDescent="0.25">
      <c r="A36" s="19" t="s">
        <v>126</v>
      </c>
      <c r="B36" s="5">
        <f>B21/B31</f>
        <v>8824428437.8496723</v>
      </c>
      <c r="C36" s="5" t="e">
        <f>#REF!/C31</f>
        <v>#REF!</v>
      </c>
      <c r="D36" s="5"/>
      <c r="E36" s="5">
        <f t="shared" ref="E36" si="3">E21/E31</f>
        <v>4494201586.9281044</v>
      </c>
      <c r="F36" s="5"/>
      <c r="G36" s="5">
        <f t="shared" si="2"/>
        <v>821531045.751634</v>
      </c>
      <c r="H36" s="5"/>
      <c r="I36" s="5"/>
      <c r="J36" s="5"/>
    </row>
    <row r="37" spans="1:10" x14ac:dyDescent="0.25">
      <c r="A37" s="19" t="s">
        <v>52</v>
      </c>
      <c r="B37" s="5">
        <f>B35/B10</f>
        <v>19867.422990387993</v>
      </c>
      <c r="C37" s="5">
        <f t="shared" ref="C37:G37" si="4">C35/C10</f>
        <v>30810.223003602208</v>
      </c>
      <c r="D37" s="5"/>
      <c r="E37" s="5">
        <f>E35/(E10+F10)</f>
        <v>9752.3686841114304</v>
      </c>
      <c r="F37" s="5"/>
      <c r="G37" s="5">
        <f t="shared" si="4"/>
        <v>25960.003451257991</v>
      </c>
      <c r="H37" s="5"/>
      <c r="I37" s="5"/>
      <c r="J37" s="5"/>
    </row>
    <row r="38" spans="1:10" x14ac:dyDescent="0.25">
      <c r="A38" s="19" t="s">
        <v>127</v>
      </c>
      <c r="B38" s="5">
        <f>B36/B14</f>
        <v>21849.278752582479</v>
      </c>
      <c r="C38" s="5" t="e">
        <f t="shared" ref="C38:G38" si="5">C36/C14</f>
        <v>#REF!</v>
      </c>
      <c r="D38" s="5"/>
      <c r="E38" s="5">
        <f>E36/(E14+F14)</f>
        <v>10008.505036994296</v>
      </c>
      <c r="F38" s="5"/>
      <c r="G38" s="33">
        <f t="shared" si="5"/>
        <v>47080.716876971092</v>
      </c>
      <c r="H38" s="33"/>
      <c r="I38" s="33"/>
      <c r="J38" s="33"/>
    </row>
    <row r="39" spans="1:10" x14ac:dyDescent="0.25">
      <c r="A39" s="19"/>
      <c r="B39" s="19"/>
      <c r="C39" s="19"/>
      <c r="D39" s="19"/>
      <c r="E39" s="19"/>
      <c r="F39" s="19"/>
      <c r="G39" s="19"/>
      <c r="H39" s="19"/>
      <c r="I39" s="19"/>
      <c r="J39" s="19"/>
    </row>
    <row r="40" spans="1:10" x14ac:dyDescent="0.25">
      <c r="A40" s="32" t="s">
        <v>17</v>
      </c>
      <c r="B40" s="5"/>
      <c r="C40" s="19"/>
      <c r="D40" s="19"/>
      <c r="E40" s="19"/>
      <c r="F40" s="19"/>
      <c r="G40" s="19"/>
      <c r="H40" s="19"/>
      <c r="I40" s="19"/>
      <c r="J40" s="19"/>
    </row>
    <row r="41" spans="1:10" x14ac:dyDescent="0.25">
      <c r="A41" s="19"/>
      <c r="B41" s="19"/>
      <c r="C41" s="19"/>
      <c r="D41" s="19"/>
      <c r="E41" s="19"/>
      <c r="F41" s="19"/>
      <c r="G41" s="19"/>
      <c r="H41" s="19"/>
      <c r="I41" s="19"/>
      <c r="J41" s="19"/>
    </row>
    <row r="42" spans="1:10" x14ac:dyDescent="0.25">
      <c r="A42" s="19" t="s">
        <v>18</v>
      </c>
      <c r="B42" s="19"/>
      <c r="C42" s="19"/>
      <c r="D42" s="19"/>
      <c r="E42" s="19"/>
      <c r="F42" s="19"/>
      <c r="G42" s="19"/>
      <c r="H42" s="19"/>
      <c r="I42" s="19"/>
      <c r="J42" s="19"/>
    </row>
    <row r="43" spans="1:10" x14ac:dyDescent="0.25">
      <c r="A43" s="19" t="s">
        <v>19</v>
      </c>
      <c r="B43" s="9">
        <f>(B13/B32)*100</f>
        <v>545.69340880640073</v>
      </c>
      <c r="C43" s="9" t="e">
        <f t="shared" ref="C43:G43" si="6">(C13/C32)*100</f>
        <v>#DIV/0!</v>
      </c>
      <c r="D43" s="9" t="e">
        <f t="shared" si="6"/>
        <v>#DIV/0!</v>
      </c>
      <c r="E43" s="9" t="e">
        <f t="shared" si="6"/>
        <v>#DIV/0!</v>
      </c>
      <c r="F43" s="9" t="e">
        <f t="shared" si="6"/>
        <v>#DIV/0!</v>
      </c>
      <c r="G43" s="9" t="e">
        <f t="shared" si="6"/>
        <v>#DIV/0!</v>
      </c>
      <c r="H43" s="9"/>
      <c r="I43" s="9"/>
      <c r="J43" s="9"/>
    </row>
    <row r="44" spans="1:10" x14ac:dyDescent="0.25">
      <c r="A44" s="19" t="s">
        <v>20</v>
      </c>
      <c r="B44" s="9">
        <f>(B15/B32)*100</f>
        <v>461.06412942905354</v>
      </c>
      <c r="C44" s="9" t="e">
        <f t="shared" ref="C44:G44" si="7">(C15/C32)*100</f>
        <v>#DIV/0!</v>
      </c>
      <c r="D44" s="9" t="e">
        <f t="shared" si="7"/>
        <v>#DIV/0!</v>
      </c>
      <c r="E44" s="9" t="e">
        <f t="shared" si="7"/>
        <v>#DIV/0!</v>
      </c>
      <c r="F44" s="9" t="e">
        <f t="shared" si="7"/>
        <v>#DIV/0!</v>
      </c>
      <c r="G44" s="9" t="e">
        <f t="shared" si="7"/>
        <v>#DIV/0!</v>
      </c>
      <c r="H44" s="9"/>
      <c r="I44" s="9"/>
      <c r="J44" s="9"/>
    </row>
    <row r="45" spans="1:10" x14ac:dyDescent="0.25">
      <c r="A45" s="19"/>
      <c r="B45" s="19"/>
      <c r="C45" s="19"/>
      <c r="D45" s="19"/>
      <c r="E45" s="19"/>
      <c r="F45" s="19"/>
      <c r="G45" s="19"/>
      <c r="H45" s="19"/>
      <c r="I45" s="19"/>
      <c r="J45" s="19"/>
    </row>
    <row r="46" spans="1:10" x14ac:dyDescent="0.25">
      <c r="A46" s="19" t="s">
        <v>21</v>
      </c>
      <c r="B46" s="19"/>
      <c r="C46" s="19"/>
      <c r="D46" s="19"/>
      <c r="E46" s="19"/>
      <c r="F46" s="19"/>
      <c r="G46" s="19"/>
      <c r="H46" s="19"/>
      <c r="I46" s="19"/>
      <c r="J46" s="19"/>
    </row>
    <row r="47" spans="1:10" x14ac:dyDescent="0.25">
      <c r="A47" s="19" t="s">
        <v>22</v>
      </c>
      <c r="B47" s="9">
        <f>B14/B12*100</f>
        <v>95.858744209247575</v>
      </c>
      <c r="C47" s="9">
        <f>C14/C12*100</f>
        <v>96.982898701626524</v>
      </c>
      <c r="D47" s="9"/>
      <c r="E47" s="9">
        <f>E14/E12*100</f>
        <v>95.482536932119658</v>
      </c>
      <c r="F47" s="9"/>
      <c r="G47" s="9">
        <f>G14/G12*100</f>
        <v>73.297628423908293</v>
      </c>
      <c r="H47" s="9"/>
      <c r="I47" s="9"/>
      <c r="J47" s="9"/>
    </row>
    <row r="48" spans="1:10" x14ac:dyDescent="0.25">
      <c r="A48" s="19" t="s">
        <v>23</v>
      </c>
      <c r="B48" s="9">
        <f>B21/B20*100</f>
        <v>96.297368868932807</v>
      </c>
      <c r="C48" s="9">
        <f>C21/(C20+D20)*100</f>
        <v>71.316859057036524</v>
      </c>
      <c r="D48" s="9"/>
      <c r="E48" s="9">
        <f>E21/E20*100</f>
        <v>97.775133046368069</v>
      </c>
      <c r="F48" s="9"/>
      <c r="G48" s="9">
        <f>G21/G20*100</f>
        <v>87.017784823092541</v>
      </c>
      <c r="H48" s="9"/>
      <c r="I48" s="9"/>
      <c r="J48" s="9"/>
    </row>
    <row r="49" spans="1:10" x14ac:dyDescent="0.25">
      <c r="A49" s="19" t="s">
        <v>24</v>
      </c>
      <c r="B49" s="9">
        <f>AVERAGE(B47:B48)</f>
        <v>96.078056539090198</v>
      </c>
      <c r="C49" s="9">
        <f t="shared" ref="C49:G49" si="8">AVERAGE(C47:C48)</f>
        <v>84.149878879331524</v>
      </c>
      <c r="D49" s="9"/>
      <c r="E49" s="9">
        <f t="shared" si="8"/>
        <v>96.62883498924387</v>
      </c>
      <c r="F49" s="9"/>
      <c r="G49" s="9">
        <f t="shared" si="8"/>
        <v>80.157706623500417</v>
      </c>
      <c r="H49" s="9"/>
      <c r="I49" s="9"/>
      <c r="J49" s="9"/>
    </row>
    <row r="50" spans="1:10" x14ac:dyDescent="0.25">
      <c r="A50" s="19"/>
      <c r="B50" s="9"/>
      <c r="C50" s="9"/>
      <c r="D50" s="9"/>
      <c r="E50" s="9"/>
      <c r="F50" s="9"/>
      <c r="G50" s="9"/>
      <c r="H50" s="9"/>
      <c r="I50" s="9"/>
      <c r="J50" s="9"/>
    </row>
    <row r="51" spans="1:10" x14ac:dyDescent="0.25">
      <c r="A51" s="19" t="s">
        <v>25</v>
      </c>
      <c r="B51" s="19"/>
      <c r="C51" s="19"/>
      <c r="D51" s="19"/>
      <c r="E51" s="19"/>
      <c r="F51" s="19"/>
      <c r="G51" s="19"/>
      <c r="H51" s="19"/>
      <c r="I51" s="19"/>
      <c r="J51" s="19"/>
    </row>
    <row r="52" spans="1:10" x14ac:dyDescent="0.25">
      <c r="A52" s="19" t="s">
        <v>26</v>
      </c>
      <c r="B52" s="9">
        <f>((B14/(B16))*100)</f>
        <v>307.71606349206354</v>
      </c>
      <c r="C52" s="9">
        <f>(((C14+D14)/((C16+D16)))*100)</f>
        <v>296.52702886220754</v>
      </c>
      <c r="D52" s="9">
        <f>((D14/(D16))*100)</f>
        <v>249.55131964809385</v>
      </c>
      <c r="E52" s="9">
        <f>(((E14+F14)/((E16+F16)))*100)</f>
        <v>292.86885940883354</v>
      </c>
      <c r="F52" s="9">
        <f>((F14/(F16))*100)</f>
        <v>267.05713148563575</v>
      </c>
      <c r="G52" s="9">
        <f>((G14/(G16))*100)</f>
        <v>238.21729237770194</v>
      </c>
      <c r="H52" s="9"/>
      <c r="I52" s="9"/>
      <c r="J52" s="9"/>
    </row>
    <row r="53" spans="1:10" x14ac:dyDescent="0.25">
      <c r="A53" s="19" t="s">
        <v>27</v>
      </c>
      <c r="B53" s="9">
        <f>B21/B22*100</f>
        <v>79.604040703444923</v>
      </c>
      <c r="C53" s="9" t="e">
        <f>#REF!/C22*100</f>
        <v>#REF!</v>
      </c>
      <c r="D53" s="9"/>
      <c r="E53" s="9">
        <f>E21/E22*100</f>
        <v>97.775133046368083</v>
      </c>
      <c r="F53" s="9"/>
      <c r="G53" s="9">
        <f>G21/G22*100</f>
        <v>62.766544052244079</v>
      </c>
      <c r="H53" s="9"/>
      <c r="I53" s="9"/>
      <c r="J53" s="9"/>
    </row>
    <row r="54" spans="1:10" x14ac:dyDescent="0.25">
      <c r="A54" s="19" t="s">
        <v>28</v>
      </c>
      <c r="B54" s="9">
        <f>(B52+B53)/2</f>
        <v>193.66005209775423</v>
      </c>
      <c r="C54" s="9" t="e">
        <f t="shared" ref="C54:G54" si="9">(C52+C53)/2</f>
        <v>#REF!</v>
      </c>
      <c r="D54" s="9"/>
      <c r="E54" s="9">
        <f t="shared" si="9"/>
        <v>195.32199622760081</v>
      </c>
      <c r="F54" s="9"/>
      <c r="G54" s="9">
        <f t="shared" si="9"/>
        <v>150.491918214973</v>
      </c>
      <c r="H54" s="9"/>
      <c r="I54" s="9"/>
      <c r="J54" s="9"/>
    </row>
    <row r="55" spans="1:10" x14ac:dyDescent="0.25">
      <c r="A55" s="19"/>
      <c r="B55" s="9"/>
      <c r="C55" s="9"/>
      <c r="D55" s="9"/>
      <c r="E55" s="9"/>
      <c r="F55" s="9"/>
      <c r="G55" s="9"/>
      <c r="H55" s="9"/>
      <c r="I55" s="9"/>
      <c r="J55" s="9"/>
    </row>
    <row r="56" spans="1:10" x14ac:dyDescent="0.25">
      <c r="A56" s="19" t="s">
        <v>64</v>
      </c>
      <c r="B56" s="19"/>
      <c r="C56" s="19"/>
      <c r="D56" s="19"/>
      <c r="E56" s="19"/>
      <c r="F56" s="19"/>
      <c r="G56" s="19"/>
      <c r="H56" s="19"/>
      <c r="I56" s="19"/>
      <c r="J56" s="19"/>
    </row>
    <row r="57" spans="1:10" x14ac:dyDescent="0.25">
      <c r="A57" s="19" t="s">
        <v>29</v>
      </c>
      <c r="B57" s="9"/>
      <c r="C57" s="9"/>
      <c r="D57" s="9"/>
      <c r="E57" s="9"/>
      <c r="F57" s="9"/>
      <c r="G57" s="9"/>
      <c r="H57" s="9"/>
      <c r="I57" s="9"/>
      <c r="J57" s="9"/>
    </row>
    <row r="58" spans="1:10" x14ac:dyDescent="0.25">
      <c r="A58" s="19"/>
      <c r="B58" s="19"/>
      <c r="C58" s="19"/>
      <c r="D58" s="19"/>
      <c r="E58" s="19"/>
      <c r="F58" s="19"/>
      <c r="G58" s="19"/>
      <c r="H58" s="19"/>
      <c r="I58" s="19"/>
      <c r="J58" s="19"/>
    </row>
    <row r="59" spans="1:10" x14ac:dyDescent="0.25">
      <c r="A59" s="19" t="s">
        <v>30</v>
      </c>
      <c r="B59" s="19"/>
      <c r="C59" s="19"/>
      <c r="D59" s="19"/>
      <c r="E59" s="19"/>
      <c r="F59" s="19"/>
      <c r="G59" s="19"/>
      <c r="H59" s="19"/>
      <c r="I59" s="19"/>
      <c r="J59" s="19"/>
    </row>
    <row r="60" spans="1:10" x14ac:dyDescent="0.25">
      <c r="A60" s="19" t="s">
        <v>31</v>
      </c>
      <c r="B60" s="9">
        <f>((B14/B10)-1)*100</f>
        <v>8.4485557617927309</v>
      </c>
      <c r="C60" s="9">
        <f>((C14/C10)-1)*100</f>
        <v>14.501947804610493</v>
      </c>
      <c r="D60" s="9"/>
      <c r="E60" s="9">
        <f>((E14/E10)-1)*100</f>
        <v>6.5340929172783113</v>
      </c>
      <c r="F60" s="9"/>
      <c r="G60" s="9">
        <f>((G14/G10)-1)*100</f>
        <v>3.1426558890317535</v>
      </c>
      <c r="H60" s="9"/>
      <c r="I60" s="9"/>
      <c r="J60" s="9"/>
    </row>
    <row r="61" spans="1:10" x14ac:dyDescent="0.25">
      <c r="A61" s="19" t="s">
        <v>32</v>
      </c>
      <c r="B61" s="9">
        <f>((B36/B35)-1)*100</f>
        <v>19.266737628769803</v>
      </c>
      <c r="C61" s="9" t="e">
        <f t="shared" ref="C61:G61" si="10">((C36/C35)-1)*100</f>
        <v>#REF!</v>
      </c>
      <c r="D61" s="9"/>
      <c r="E61" s="9">
        <f t="shared" si="10"/>
        <v>10.194621996399622</v>
      </c>
      <c r="F61" s="9"/>
      <c r="G61" s="9">
        <f t="shared" si="10"/>
        <v>87.058148469353952</v>
      </c>
      <c r="H61" s="9"/>
      <c r="I61" s="9"/>
      <c r="J61" s="9"/>
    </row>
    <row r="62" spans="1:10" x14ac:dyDescent="0.25">
      <c r="A62" s="19" t="s">
        <v>33</v>
      </c>
      <c r="B62" s="9">
        <f>((B38/B37)-1)*100</f>
        <v>9.9754042743908968</v>
      </c>
      <c r="C62" s="9" t="e">
        <f t="shared" ref="C62:G62" si="11">((C38/C37)-1)*100</f>
        <v>#REF!</v>
      </c>
      <c r="D62" s="9"/>
      <c r="E62" s="9">
        <f t="shared" si="11"/>
        <v>2.6264014536300673</v>
      </c>
      <c r="F62" s="9"/>
      <c r="G62" s="9">
        <f t="shared" si="11"/>
        <v>81.358669560152208</v>
      </c>
      <c r="H62" s="9"/>
      <c r="I62" s="9"/>
      <c r="J62" s="9"/>
    </row>
    <row r="63" spans="1:10" x14ac:dyDescent="0.25">
      <c r="A63" s="19"/>
      <c r="B63" s="9"/>
      <c r="C63" s="9"/>
      <c r="D63" s="9"/>
      <c r="E63" s="9"/>
      <c r="F63" s="9"/>
      <c r="G63" s="9"/>
      <c r="H63" s="9"/>
      <c r="I63" s="9"/>
      <c r="J63" s="9"/>
    </row>
    <row r="64" spans="1:10" x14ac:dyDescent="0.25">
      <c r="A64" s="19" t="s">
        <v>34</v>
      </c>
      <c r="B64" s="19"/>
      <c r="C64" s="19"/>
      <c r="D64" s="19"/>
      <c r="E64" s="19"/>
      <c r="F64" s="19"/>
      <c r="G64" s="19"/>
      <c r="H64" s="19"/>
      <c r="I64" s="19"/>
      <c r="J64" s="19"/>
    </row>
    <row r="65" spans="1:10" x14ac:dyDescent="0.25">
      <c r="A65" s="19" t="s">
        <v>35</v>
      </c>
      <c r="B65" s="5">
        <f>B20/(B12*12)</f>
        <v>2773.0940843124854</v>
      </c>
      <c r="C65" s="5">
        <f>C21/((C12+D12)*12)</f>
        <v>2412.6481185340722</v>
      </c>
      <c r="D65" s="5"/>
      <c r="E65" s="5">
        <f t="shared" ref="E65:G65" si="12">E20/((E12+F12)*12)</f>
        <v>1192.2292437392487</v>
      </c>
      <c r="F65" s="5"/>
      <c r="G65" s="5">
        <f t="shared" si="12"/>
        <v>4399.9037367638048</v>
      </c>
      <c r="H65" s="5"/>
      <c r="I65" s="5"/>
      <c r="J65" s="5"/>
    </row>
    <row r="66" spans="1:10" x14ac:dyDescent="0.25">
      <c r="A66" s="19" t="s">
        <v>36</v>
      </c>
      <c r="B66" s="5">
        <f>B21/(B14*12)</f>
        <v>2785.7830409542667</v>
      </c>
      <c r="C66" s="5" t="e">
        <f>#REF!/((C14+D14)*12)</f>
        <v>#REF!</v>
      </c>
      <c r="D66" s="5"/>
      <c r="E66" s="5">
        <f t="shared" ref="E66:G66" si="13">E21/((E14+F14)*12)</f>
        <v>1276.0843922167728</v>
      </c>
      <c r="F66" s="5"/>
      <c r="G66" s="5">
        <f t="shared" si="13"/>
        <v>5223.4961054094456</v>
      </c>
      <c r="H66" s="5"/>
      <c r="I66" s="5"/>
      <c r="J66" s="5"/>
    </row>
    <row r="67" spans="1:10" x14ac:dyDescent="0.25">
      <c r="A67" s="19" t="s">
        <v>37</v>
      </c>
      <c r="B67" s="9">
        <f>(B65/B66)*B49</f>
        <v>95.640430824621959</v>
      </c>
      <c r="C67" s="9" t="e">
        <f>(C65/C66)*C49</f>
        <v>#REF!</v>
      </c>
      <c r="D67" s="9"/>
      <c r="E67" s="9">
        <f>(E65/E66)*E49</f>
        <v>90.279078378587997</v>
      </c>
      <c r="F67" s="9"/>
      <c r="G67" s="9">
        <f>(G65/G66)*G49</f>
        <v>67.519183662818264</v>
      </c>
      <c r="H67" s="9"/>
      <c r="I67" s="9"/>
      <c r="J67" s="9"/>
    </row>
    <row r="68" spans="1:10" x14ac:dyDescent="0.25">
      <c r="A68" s="19" t="s">
        <v>65</v>
      </c>
      <c r="B68" s="17">
        <f>B20/B12</f>
        <v>33277.129011749821</v>
      </c>
      <c r="C68" s="17">
        <f>C21/(C12+D12)</f>
        <v>28951.777422408864</v>
      </c>
      <c r="D68" s="17"/>
      <c r="E68" s="17">
        <f t="shared" ref="E68:G68" si="14">E20/(E12+F12)</f>
        <v>14306.750924870985</v>
      </c>
      <c r="F68" s="17"/>
      <c r="G68" s="17">
        <f t="shared" si="14"/>
        <v>52798.844841165657</v>
      </c>
      <c r="H68" s="17"/>
      <c r="I68" s="17"/>
      <c r="J68" s="17"/>
    </row>
    <row r="69" spans="1:10" x14ac:dyDescent="0.25">
      <c r="A69" s="19" t="s">
        <v>66</v>
      </c>
      <c r="B69" s="9">
        <f>B21/B14</f>
        <v>33429.396491451196</v>
      </c>
      <c r="C69" s="9" t="e">
        <f>#REF!/(C14+D14)</f>
        <v>#REF!</v>
      </c>
      <c r="D69" s="9"/>
      <c r="E69" s="9">
        <f t="shared" ref="E69" si="15">E21/(E14+F14)</f>
        <v>15313.012706601276</v>
      </c>
      <c r="F69" s="9"/>
      <c r="G69" s="9">
        <f>G21/(G14)</f>
        <v>62681.95326491334</v>
      </c>
      <c r="H69" s="9"/>
      <c r="I69" s="9"/>
      <c r="J69" s="9"/>
    </row>
    <row r="70" spans="1:10" x14ac:dyDescent="0.25">
      <c r="A70" s="19"/>
      <c r="B70" s="9"/>
      <c r="C70" s="9"/>
      <c r="D70" s="9"/>
      <c r="E70" s="9"/>
      <c r="F70" s="9"/>
      <c r="G70" s="9"/>
      <c r="H70" s="9"/>
      <c r="I70" s="9"/>
      <c r="J70" s="9"/>
    </row>
    <row r="71" spans="1:10" x14ac:dyDescent="0.25">
      <c r="A71" s="19" t="s">
        <v>38</v>
      </c>
      <c r="B71" s="9"/>
      <c r="C71" s="9"/>
      <c r="D71" s="9"/>
      <c r="E71" s="9"/>
      <c r="F71" s="9"/>
      <c r="G71" s="9"/>
      <c r="H71" s="9"/>
      <c r="I71" s="9"/>
      <c r="J71" s="9"/>
    </row>
    <row r="72" spans="1:10" x14ac:dyDescent="0.25">
      <c r="A72" s="19" t="s">
        <v>39</v>
      </c>
      <c r="B72" s="9">
        <f>(B27/B26)*100</f>
        <v>109.24424163942561</v>
      </c>
      <c r="C72" s="9"/>
      <c r="D72" s="9"/>
      <c r="E72" s="9"/>
      <c r="F72" s="9"/>
      <c r="G72" s="9"/>
      <c r="H72" s="9"/>
      <c r="I72" s="9"/>
      <c r="J72" s="9"/>
    </row>
    <row r="73" spans="1:10" x14ac:dyDescent="0.25">
      <c r="A73" s="19" t="s">
        <v>40</v>
      </c>
      <c r="B73" s="9">
        <f>(B21/B27)*100</f>
        <v>88.14869088182644</v>
      </c>
      <c r="C73" s="9"/>
      <c r="D73" s="9"/>
      <c r="E73" s="9"/>
      <c r="F73" s="9"/>
      <c r="G73" s="9"/>
      <c r="H73" s="9"/>
      <c r="I73" s="9"/>
      <c r="J73" s="9"/>
    </row>
    <row r="74" spans="1:10" ht="15.75" thickBot="1" x14ac:dyDescent="0.3">
      <c r="A74" s="36"/>
      <c r="B74" s="36"/>
      <c r="C74" s="36"/>
      <c r="D74" s="36"/>
      <c r="E74" s="36"/>
      <c r="F74" s="36"/>
      <c r="G74" s="36"/>
      <c r="H74" s="36"/>
      <c r="I74" s="36"/>
      <c r="J74" s="36"/>
    </row>
    <row r="75" spans="1:10" ht="15.75" thickTop="1" x14ac:dyDescent="0.25">
      <c r="A75" s="20" t="s">
        <v>90</v>
      </c>
      <c r="B75" s="19"/>
      <c r="C75" s="19"/>
      <c r="D75" s="19"/>
      <c r="E75" s="19"/>
      <c r="F75" s="19"/>
      <c r="G75" s="19"/>
      <c r="H75" s="19"/>
      <c r="I75" s="19"/>
      <c r="J75" s="19"/>
    </row>
    <row r="76" spans="1:10" x14ac:dyDescent="0.25">
      <c r="A76" s="19" t="s">
        <v>128</v>
      </c>
      <c r="B76" s="19"/>
      <c r="C76" s="19"/>
      <c r="D76" s="19"/>
      <c r="E76" s="19"/>
      <c r="F76" s="19"/>
      <c r="G76" s="19"/>
      <c r="H76" s="19"/>
      <c r="I76" s="19"/>
      <c r="J76" s="19"/>
    </row>
    <row r="77" spans="1:10" x14ac:dyDescent="0.25">
      <c r="A77" s="19" t="s">
        <v>91</v>
      </c>
      <c r="B77" s="19"/>
      <c r="C77" s="19"/>
      <c r="D77" s="19"/>
      <c r="E77" s="19"/>
      <c r="F77" s="19"/>
      <c r="G77" s="19"/>
      <c r="H77" s="19"/>
      <c r="I77" s="19"/>
      <c r="J77" s="19"/>
    </row>
    <row r="78" spans="1:10" x14ac:dyDescent="0.25">
      <c r="A78" s="19" t="s">
        <v>67</v>
      </c>
      <c r="B78" s="37"/>
      <c r="C78" s="37"/>
      <c r="D78" s="37"/>
      <c r="E78" s="37"/>
      <c r="F78" s="37"/>
      <c r="G78" s="19"/>
      <c r="H78" s="19"/>
      <c r="I78" s="19"/>
      <c r="J78" s="19"/>
    </row>
    <row r="79" spans="1:10" x14ac:dyDescent="0.25">
      <c r="A79" s="19" t="s">
        <v>81</v>
      </c>
      <c r="B79" s="19"/>
      <c r="C79" s="19"/>
      <c r="D79" s="19"/>
      <c r="E79" s="19"/>
      <c r="F79" s="19"/>
      <c r="G79" s="19"/>
      <c r="H79" s="19"/>
      <c r="I79" s="19"/>
      <c r="J79" s="19"/>
    </row>
    <row r="80" spans="1:10" x14ac:dyDescent="0.25">
      <c r="A80" t="s">
        <v>76</v>
      </c>
    </row>
    <row r="81" spans="1:1" x14ac:dyDescent="0.25">
      <c r="A81" t="s">
        <v>75</v>
      </c>
    </row>
  </sheetData>
  <mergeCells count="17">
    <mergeCell ref="A2:G2"/>
    <mergeCell ref="A4:A5"/>
    <mergeCell ref="C5:D5"/>
    <mergeCell ref="E5:F5"/>
    <mergeCell ref="C4:H4"/>
    <mergeCell ref="J4:J5"/>
    <mergeCell ref="C23:D23"/>
    <mergeCell ref="E23:F23"/>
    <mergeCell ref="E19:F19"/>
    <mergeCell ref="C19:D19"/>
    <mergeCell ref="I4:I5"/>
    <mergeCell ref="C21:D21"/>
    <mergeCell ref="C22:D22"/>
    <mergeCell ref="C20:D20"/>
    <mergeCell ref="E20:F20"/>
    <mergeCell ref="E21:F21"/>
    <mergeCell ref="E22:F22"/>
  </mergeCells>
  <pageMargins left="0.7" right="0.7" top="0.75" bottom="0.75" header="0.3" footer="0.3"/>
  <ignoredErrors>
    <ignoredError sqref="C21 C19" formulaRange="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 sqref="K1"/>
    </sheetView>
  </sheetViews>
  <sheetFormatPr baseColWidth="10" defaultColWidth="11.42578125"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 Trimestre</vt:lpstr>
      <vt:lpstr>II Trimestre</vt:lpstr>
      <vt:lpstr>III Trimestre</vt:lpstr>
      <vt:lpstr>IV Trimestre</vt:lpstr>
      <vt:lpstr>I Semestre</vt:lpstr>
      <vt:lpstr>III T Acumulado</vt:lpstr>
      <vt:lpstr>Anual</vt:lpstr>
      <vt:lpstr>Observaciones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catherine.mata</dc:creator>
  <cp:lastModifiedBy>Sayra Rojas Rios</cp:lastModifiedBy>
  <dcterms:created xsi:type="dcterms:W3CDTF">2012-02-08T21:16:28Z</dcterms:created>
  <dcterms:modified xsi:type="dcterms:W3CDTF">2013-10-29T20:55:37Z</dcterms:modified>
</cp:coreProperties>
</file>