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rojas\Documents\Hermes Cliente\files\"/>
    </mc:Choice>
  </mc:AlternateContent>
  <bookViews>
    <workbookView xWindow="360" yWindow="120" windowWidth="15480" windowHeight="9495" tabRatio="72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Tercer trimestre Acumulado" sheetId="7" r:id="rId6"/>
    <sheet name="Anual 2012" sheetId="8" r:id="rId7"/>
  </sheets>
  <calcPr calcId="152511"/>
</workbook>
</file>

<file path=xl/calcChain.xml><?xml version="1.0" encoding="utf-8"?>
<calcChain xmlns="http://schemas.openxmlformats.org/spreadsheetml/2006/main">
  <c r="H99" i="8" l="1"/>
  <c r="H98" i="8"/>
  <c r="H97" i="8"/>
  <c r="D20" i="4" l="1"/>
  <c r="E20" i="4"/>
  <c r="C20" i="4"/>
  <c r="D20" i="3"/>
  <c r="E20" i="3"/>
  <c r="C20" i="3"/>
  <c r="D20" i="2"/>
  <c r="E20" i="2"/>
  <c r="C20" i="2"/>
  <c r="D20" i="1"/>
  <c r="E20" i="1"/>
  <c r="C20" i="1"/>
  <c r="F11" i="8"/>
  <c r="E12" i="8"/>
  <c r="E11" i="8"/>
  <c r="E10" i="8"/>
  <c r="D12" i="8"/>
  <c r="D11" i="8"/>
  <c r="D10" i="8"/>
  <c r="C12" i="8"/>
  <c r="C11" i="8"/>
  <c r="C10" i="8"/>
  <c r="F11" i="7"/>
  <c r="E12" i="7"/>
  <c r="E11" i="7"/>
  <c r="E10" i="7"/>
  <c r="D12" i="7"/>
  <c r="D11" i="7"/>
  <c r="D10" i="7"/>
  <c r="C12" i="7"/>
  <c r="C11" i="7"/>
  <c r="C10" i="7"/>
  <c r="F11" i="6"/>
  <c r="E12" i="6"/>
  <c r="E11" i="6"/>
  <c r="D12" i="6"/>
  <c r="D11" i="6"/>
  <c r="C12" i="6"/>
  <c r="C11" i="6"/>
  <c r="E10" i="6"/>
  <c r="D10" i="6"/>
  <c r="C10" i="6"/>
  <c r="E49" i="4" l="1"/>
  <c r="D49" i="4"/>
  <c r="C49" i="4"/>
  <c r="E49" i="3"/>
  <c r="D49" i="3"/>
  <c r="C49" i="3"/>
  <c r="C49" i="2"/>
  <c r="D49" i="2"/>
  <c r="E49" i="2"/>
  <c r="C49" i="1"/>
  <c r="D49" i="1"/>
  <c r="E49" i="1"/>
  <c r="C19" i="6" l="1"/>
  <c r="D19" i="6" l="1"/>
  <c r="E19" i="6"/>
  <c r="F19" i="6"/>
  <c r="C17" i="6"/>
  <c r="D17" i="6"/>
  <c r="E17" i="6"/>
  <c r="F17" i="6"/>
  <c r="C18" i="6"/>
  <c r="C20" i="6" s="1"/>
  <c r="D18" i="6"/>
  <c r="D20" i="6" s="1"/>
  <c r="E18" i="6"/>
  <c r="E20" i="6" s="1"/>
  <c r="F18" i="6"/>
  <c r="F20" i="6" s="1"/>
  <c r="D16" i="6"/>
  <c r="E16" i="6"/>
  <c r="F16" i="6"/>
  <c r="C16" i="6"/>
  <c r="D19" i="7"/>
  <c r="E19" i="7"/>
  <c r="F19" i="7"/>
  <c r="C19" i="7"/>
  <c r="C17" i="7"/>
  <c r="D17" i="7"/>
  <c r="E17" i="7"/>
  <c r="F17" i="7"/>
  <c r="C18" i="7"/>
  <c r="C20" i="7" s="1"/>
  <c r="D18" i="7"/>
  <c r="D20" i="7" s="1"/>
  <c r="E18" i="7"/>
  <c r="E20" i="7" s="1"/>
  <c r="F18" i="7"/>
  <c r="F20" i="7" s="1"/>
  <c r="D16" i="7"/>
  <c r="E16" i="7"/>
  <c r="F16" i="7"/>
  <c r="C16" i="7"/>
  <c r="C17" i="8"/>
  <c r="D17" i="8"/>
  <c r="E17" i="8"/>
  <c r="F17" i="8"/>
  <c r="C18" i="8"/>
  <c r="C20" i="8" s="1"/>
  <c r="D18" i="8"/>
  <c r="D20" i="8" s="1"/>
  <c r="E18" i="8"/>
  <c r="E20" i="8" s="1"/>
  <c r="F18" i="8"/>
  <c r="D16" i="8"/>
  <c r="E16" i="8"/>
  <c r="F16" i="8"/>
  <c r="C16" i="8"/>
  <c r="F20" i="8"/>
  <c r="C19" i="8"/>
  <c r="D19" i="8"/>
  <c r="E19" i="8"/>
  <c r="F19" i="8"/>
  <c r="D13" i="6"/>
  <c r="D49" i="6" s="1"/>
  <c r="E13" i="6"/>
  <c r="F13" i="6"/>
  <c r="C13" i="6"/>
  <c r="C49" i="6"/>
  <c r="E49" i="6"/>
  <c r="F12" i="6"/>
  <c r="F10" i="6"/>
  <c r="D13" i="7"/>
  <c r="E13" i="7"/>
  <c r="F13" i="7"/>
  <c r="C13" i="7"/>
  <c r="C49" i="7" s="1"/>
  <c r="D49" i="7"/>
  <c r="E49" i="7"/>
  <c r="F12" i="7"/>
  <c r="F10" i="7"/>
  <c r="D13" i="8"/>
  <c r="E13" i="8"/>
  <c r="F13" i="8"/>
  <c r="C13" i="8"/>
  <c r="F12" i="8"/>
  <c r="F10" i="8"/>
  <c r="B19" i="6" l="1"/>
  <c r="B19" i="7"/>
  <c r="B20" i="8"/>
  <c r="B18" i="8"/>
  <c r="B17" i="8"/>
  <c r="B16" i="8"/>
  <c r="B13" i="8"/>
  <c r="B12" i="8"/>
  <c r="B11" i="8"/>
  <c r="B10" i="8"/>
  <c r="B20" i="7"/>
  <c r="B18" i="7"/>
  <c r="B17" i="7"/>
  <c r="B16" i="7"/>
  <c r="B13" i="7"/>
  <c r="B12" i="7"/>
  <c r="B49" i="7" s="1"/>
  <c r="B11" i="7"/>
  <c r="B10" i="7"/>
  <c r="B20" i="6"/>
  <c r="B18" i="6"/>
  <c r="B17" i="6"/>
  <c r="B16" i="6"/>
  <c r="B13" i="6"/>
  <c r="B12" i="6"/>
  <c r="B49" i="6" s="1"/>
  <c r="B11" i="6"/>
  <c r="B10" i="6"/>
  <c r="B20" i="4"/>
  <c r="B19" i="4"/>
  <c r="B19" i="8" s="1"/>
  <c r="B18" i="4"/>
  <c r="B17" i="4"/>
  <c r="B16" i="4"/>
  <c r="B13" i="4"/>
  <c r="B12" i="4"/>
  <c r="B11" i="4"/>
  <c r="B10" i="4"/>
  <c r="B20" i="3"/>
  <c r="B19" i="3"/>
  <c r="B18" i="3"/>
  <c r="B17" i="3"/>
  <c r="B16" i="3"/>
  <c r="B13" i="3"/>
  <c r="B12" i="3"/>
  <c r="B11" i="3"/>
  <c r="B10" i="3"/>
  <c r="B20" i="2"/>
  <c r="B19" i="2"/>
  <c r="B18" i="2"/>
  <c r="B17" i="2"/>
  <c r="B16" i="2"/>
  <c r="B13" i="2"/>
  <c r="B12" i="2"/>
  <c r="B11" i="2"/>
  <c r="B10" i="2"/>
  <c r="B20" i="1"/>
  <c r="B19" i="1"/>
  <c r="B18" i="1"/>
  <c r="B17" i="1"/>
  <c r="B16" i="1"/>
  <c r="B13" i="1"/>
  <c r="B12" i="1"/>
  <c r="B49" i="1" s="1"/>
  <c r="B11" i="1"/>
  <c r="B10" i="1"/>
  <c r="B49" i="3" l="1"/>
  <c r="B49" i="2"/>
  <c r="B49" i="4"/>
  <c r="F40" i="6"/>
  <c r="F44" i="6"/>
  <c r="E32" i="6"/>
  <c r="E34" i="6" s="1"/>
  <c r="F32" i="6"/>
  <c r="E57" i="6"/>
  <c r="F34" i="6" l="1"/>
  <c r="F50" i="6"/>
  <c r="F62" i="6"/>
  <c r="D50" i="6"/>
  <c r="D54" i="6"/>
  <c r="F54" i="6"/>
  <c r="E63" i="6"/>
  <c r="E54" i="6"/>
  <c r="B33" i="6"/>
  <c r="C63" i="6"/>
  <c r="C54" i="6"/>
  <c r="F49" i="6"/>
  <c r="F51" i="6" s="1"/>
  <c r="F41" i="6"/>
  <c r="D41" i="6"/>
  <c r="E50" i="6"/>
  <c r="C50" i="6"/>
  <c r="E41" i="6"/>
  <c r="C41" i="6"/>
  <c r="F63" i="6"/>
  <c r="D63" i="6"/>
  <c r="D33" i="6"/>
  <c r="F33" i="6"/>
  <c r="F35" i="6" s="1"/>
  <c r="F45" i="6"/>
  <c r="F46" i="6" s="1"/>
  <c r="F57" i="6"/>
  <c r="C33" i="6"/>
  <c r="E33" i="6"/>
  <c r="D51" i="6" l="1"/>
  <c r="F64" i="6"/>
  <c r="E51" i="6"/>
  <c r="B63" i="6"/>
  <c r="B41" i="6"/>
  <c r="C51" i="6"/>
  <c r="B54" i="6"/>
  <c r="E58" i="6"/>
  <c r="F58" i="6"/>
  <c r="F59" i="6"/>
  <c r="F54" i="7" l="1"/>
  <c r="F32" i="7"/>
  <c r="F34" i="7" s="1"/>
  <c r="E57" i="7"/>
  <c r="E32" i="7"/>
  <c r="F40" i="7"/>
  <c r="D32" i="3"/>
  <c r="D34" i="3" s="1"/>
  <c r="F32" i="3"/>
  <c r="F34" i="3" s="1"/>
  <c r="D33" i="3"/>
  <c r="F33" i="3"/>
  <c r="B33" i="3"/>
  <c r="B35" i="3" s="1"/>
  <c r="B32" i="3"/>
  <c r="C49" i="8"/>
  <c r="D49" i="8"/>
  <c r="E49" i="8"/>
  <c r="F49" i="8"/>
  <c r="F62" i="8"/>
  <c r="F63" i="8"/>
  <c r="F32" i="8"/>
  <c r="F57" i="8"/>
  <c r="F44" i="8"/>
  <c r="F41" i="8"/>
  <c r="F40" i="8"/>
  <c r="E32" i="8"/>
  <c r="F32" i="4"/>
  <c r="F34" i="4" s="1"/>
  <c r="F33" i="4"/>
  <c r="F35" i="4" s="1"/>
  <c r="E63" i="4"/>
  <c r="D63" i="4"/>
  <c r="C63" i="4"/>
  <c r="F62" i="4"/>
  <c r="F57" i="4"/>
  <c r="E57" i="4"/>
  <c r="D57" i="4"/>
  <c r="C57" i="4"/>
  <c r="F54" i="4"/>
  <c r="E54" i="4"/>
  <c r="D54" i="4"/>
  <c r="C54" i="4"/>
  <c r="F50" i="4"/>
  <c r="E50" i="4"/>
  <c r="E51" i="4" s="1"/>
  <c r="D50" i="4"/>
  <c r="D51" i="4" s="1"/>
  <c r="C50" i="4"/>
  <c r="C51" i="4" s="1"/>
  <c r="F49" i="4"/>
  <c r="F51" i="4" s="1"/>
  <c r="F45" i="4"/>
  <c r="E45" i="4"/>
  <c r="D45" i="4"/>
  <c r="C45" i="4"/>
  <c r="F44" i="4"/>
  <c r="F46" i="4" s="1"/>
  <c r="F41" i="4"/>
  <c r="E41" i="4"/>
  <c r="D41" i="4"/>
  <c r="C41" i="4"/>
  <c r="F40" i="4"/>
  <c r="E62" i="4"/>
  <c r="D62" i="4"/>
  <c r="C62" i="4"/>
  <c r="E33" i="4"/>
  <c r="E35" i="4" s="1"/>
  <c r="D33" i="4"/>
  <c r="D35" i="4" s="1"/>
  <c r="C33" i="4"/>
  <c r="C35" i="4" s="1"/>
  <c r="E32" i="4"/>
  <c r="E34" i="4" s="1"/>
  <c r="D32" i="4"/>
  <c r="D34" i="4" s="1"/>
  <c r="C32" i="4"/>
  <c r="C34" i="4" s="1"/>
  <c r="B32" i="4"/>
  <c r="F40" i="3"/>
  <c r="F41" i="3"/>
  <c r="F44" i="3"/>
  <c r="F46" i="3" s="1"/>
  <c r="F45" i="3"/>
  <c r="F49" i="3"/>
  <c r="F50" i="3"/>
  <c r="F54" i="3"/>
  <c r="F57" i="3"/>
  <c r="F62" i="3"/>
  <c r="F63" i="3"/>
  <c r="E63" i="3"/>
  <c r="D63" i="3"/>
  <c r="C63" i="3"/>
  <c r="B63" i="3"/>
  <c r="E57" i="3"/>
  <c r="D57" i="3"/>
  <c r="C57" i="3"/>
  <c r="B57" i="3"/>
  <c r="E54" i="3"/>
  <c r="D54" i="3"/>
  <c r="C54" i="3"/>
  <c r="B54" i="3"/>
  <c r="E50" i="3"/>
  <c r="E51" i="3" s="1"/>
  <c r="D50" i="3"/>
  <c r="C50" i="3"/>
  <c r="C51" i="3" s="1"/>
  <c r="D51" i="3"/>
  <c r="E45" i="3"/>
  <c r="D45" i="3"/>
  <c r="C45" i="3"/>
  <c r="B45" i="3"/>
  <c r="E41" i="3"/>
  <c r="D41" i="3"/>
  <c r="C41" i="3"/>
  <c r="B41" i="3"/>
  <c r="E62" i="3"/>
  <c r="D62" i="3"/>
  <c r="E33" i="3"/>
  <c r="E35" i="3" s="1"/>
  <c r="C33" i="3"/>
  <c r="C35" i="3" s="1"/>
  <c r="E32" i="3"/>
  <c r="E34" i="3" s="1"/>
  <c r="C32" i="3"/>
  <c r="C34" i="3" s="1"/>
  <c r="B68" i="3"/>
  <c r="E63" i="2"/>
  <c r="D63" i="2"/>
  <c r="C63" i="2"/>
  <c r="E57" i="2"/>
  <c r="D57" i="2"/>
  <c r="C57" i="2"/>
  <c r="E54" i="2"/>
  <c r="D54" i="2"/>
  <c r="C54" i="2"/>
  <c r="E50" i="2"/>
  <c r="E51" i="2" s="1"/>
  <c r="D50" i="2"/>
  <c r="C50" i="2"/>
  <c r="C51" i="2" s="1"/>
  <c r="D51" i="2"/>
  <c r="E45" i="2"/>
  <c r="D45" i="2"/>
  <c r="C45" i="2"/>
  <c r="E41" i="2"/>
  <c r="D41" i="2"/>
  <c r="C41" i="2"/>
  <c r="E44" i="2"/>
  <c r="D62" i="2"/>
  <c r="C44" i="2"/>
  <c r="E33" i="2"/>
  <c r="E35" i="2" s="1"/>
  <c r="D33" i="2"/>
  <c r="D35" i="2" s="1"/>
  <c r="C33" i="2"/>
  <c r="C35" i="2" s="1"/>
  <c r="E32" i="2"/>
  <c r="E34" i="2" s="1"/>
  <c r="D32" i="2"/>
  <c r="D34" i="2" s="1"/>
  <c r="C32" i="2"/>
  <c r="C34" i="2" s="1"/>
  <c r="B24" i="6"/>
  <c r="B68" i="6" s="1"/>
  <c r="B50" i="6"/>
  <c r="B51" i="6" s="1"/>
  <c r="B32" i="2"/>
  <c r="D63" i="1"/>
  <c r="E63" i="1"/>
  <c r="C63" i="1"/>
  <c r="D44" i="1"/>
  <c r="D57" i="1"/>
  <c r="C57" i="1"/>
  <c r="E57" i="1"/>
  <c r="E54" i="1"/>
  <c r="D54" i="1"/>
  <c r="C54" i="1"/>
  <c r="E50" i="1"/>
  <c r="E51" i="1" s="1"/>
  <c r="E41" i="1"/>
  <c r="D41" i="1"/>
  <c r="C41" i="1"/>
  <c r="E33" i="1"/>
  <c r="E35" i="1" s="1"/>
  <c r="D33" i="1"/>
  <c r="D35" i="1" s="1"/>
  <c r="C33" i="1"/>
  <c r="C35" i="1" s="1"/>
  <c r="E32" i="1"/>
  <c r="E34" i="1" s="1"/>
  <c r="D50" i="1"/>
  <c r="D51" i="1" s="1"/>
  <c r="B68" i="1"/>
  <c r="B32" i="1"/>
  <c r="B40" i="1" l="1"/>
  <c r="F45" i="8"/>
  <c r="F46" i="8" s="1"/>
  <c r="F64" i="8" s="1"/>
  <c r="B68" i="4"/>
  <c r="E33" i="8"/>
  <c r="E58" i="8" s="1"/>
  <c r="E50" i="8"/>
  <c r="E51" i="8" s="1"/>
  <c r="C46" i="2"/>
  <c r="C33" i="8"/>
  <c r="C35" i="8" s="1"/>
  <c r="E35" i="8"/>
  <c r="D54" i="7"/>
  <c r="B40" i="2"/>
  <c r="B68" i="2"/>
  <c r="F58" i="4"/>
  <c r="C50" i="8"/>
  <c r="C51" i="8" s="1"/>
  <c r="D63" i="8"/>
  <c r="D54" i="8"/>
  <c r="B34" i="2"/>
  <c r="D41" i="8"/>
  <c r="B41" i="8"/>
  <c r="C59" i="4"/>
  <c r="E59" i="4"/>
  <c r="F34" i="8"/>
  <c r="B50" i="3"/>
  <c r="F64" i="3"/>
  <c r="F51" i="3"/>
  <c r="B33" i="8"/>
  <c r="D33" i="8"/>
  <c r="D35" i="8" s="1"/>
  <c r="F33" i="8"/>
  <c r="F35" i="8" s="1"/>
  <c r="C41" i="8"/>
  <c r="E41" i="8"/>
  <c r="D50" i="8"/>
  <c r="D51" i="8" s="1"/>
  <c r="F50" i="8"/>
  <c r="F51" i="8" s="1"/>
  <c r="F54" i="8"/>
  <c r="E57" i="8"/>
  <c r="B54" i="2"/>
  <c r="D59" i="2"/>
  <c r="D32" i="1"/>
  <c r="D34" i="1" s="1"/>
  <c r="D59" i="1" s="1"/>
  <c r="D32" i="6"/>
  <c r="D32" i="7"/>
  <c r="D32" i="8"/>
  <c r="C32" i="1"/>
  <c r="C34" i="1" s="1"/>
  <c r="C59" i="1" s="1"/>
  <c r="C50" i="1"/>
  <c r="C51" i="1" s="1"/>
  <c r="D57" i="6"/>
  <c r="D57" i="7"/>
  <c r="D57" i="8"/>
  <c r="D40" i="7"/>
  <c r="D44" i="8"/>
  <c r="B44" i="1"/>
  <c r="E62" i="1"/>
  <c r="C62" i="1"/>
  <c r="C59" i="2"/>
  <c r="E59" i="2"/>
  <c r="D59" i="4"/>
  <c r="F59" i="4"/>
  <c r="D45" i="1"/>
  <c r="D46" i="1" s="1"/>
  <c r="C57" i="7"/>
  <c r="C40" i="7"/>
  <c r="E44" i="1"/>
  <c r="E44" i="8"/>
  <c r="E40" i="7"/>
  <c r="B50" i="1"/>
  <c r="B51" i="1" s="1"/>
  <c r="D62" i="1"/>
  <c r="B63" i="1"/>
  <c r="D40" i="2"/>
  <c r="B41" i="2"/>
  <c r="B44" i="2"/>
  <c r="D44" i="2"/>
  <c r="D46" i="2" s="1"/>
  <c r="D64" i="2" s="1"/>
  <c r="B50" i="2"/>
  <c r="B57" i="2"/>
  <c r="D58" i="2"/>
  <c r="C62" i="2"/>
  <c r="E62" i="2"/>
  <c r="C40" i="3"/>
  <c r="E40" i="3"/>
  <c r="C44" i="3"/>
  <c r="C46" i="3" s="1"/>
  <c r="E44" i="3"/>
  <c r="E46" i="3" s="1"/>
  <c r="E64" i="3" s="1"/>
  <c r="C62" i="3"/>
  <c r="B34" i="4"/>
  <c r="C40" i="4"/>
  <c r="E40" i="4"/>
  <c r="B41" i="4"/>
  <c r="C44" i="4"/>
  <c r="C46" i="4" s="1"/>
  <c r="C64" i="4" s="1"/>
  <c r="E44" i="4"/>
  <c r="E46" i="4" s="1"/>
  <c r="E64" i="4" s="1"/>
  <c r="B50" i="4"/>
  <c r="B51" i="4" s="1"/>
  <c r="B57" i="4"/>
  <c r="D58" i="4"/>
  <c r="B63" i="4"/>
  <c r="F63" i="4"/>
  <c r="F64" i="4" s="1"/>
  <c r="E54" i="8"/>
  <c r="E63" i="8"/>
  <c r="C63" i="8"/>
  <c r="E34" i="7"/>
  <c r="E44" i="7"/>
  <c r="C44" i="7"/>
  <c r="E63" i="7"/>
  <c r="C63" i="7"/>
  <c r="C40" i="2"/>
  <c r="E40" i="2"/>
  <c r="C58" i="2"/>
  <c r="E58" i="2"/>
  <c r="B63" i="2"/>
  <c r="D58" i="3"/>
  <c r="F58" i="3"/>
  <c r="D40" i="3"/>
  <c r="D44" i="3"/>
  <c r="D46" i="3" s="1"/>
  <c r="D64" i="3" s="1"/>
  <c r="D40" i="4"/>
  <c r="D44" i="4"/>
  <c r="D46" i="4" s="1"/>
  <c r="D64" i="4" s="1"/>
  <c r="B54" i="4"/>
  <c r="C58" i="4"/>
  <c r="E58" i="4"/>
  <c r="B24" i="8"/>
  <c r="F49" i="7"/>
  <c r="F44" i="7"/>
  <c r="F63" i="7"/>
  <c r="D63" i="7"/>
  <c r="F62" i="7"/>
  <c r="B24" i="7"/>
  <c r="E46" i="2"/>
  <c r="E34" i="8"/>
  <c r="D33" i="7"/>
  <c r="D35" i="7" s="1"/>
  <c r="F33" i="7"/>
  <c r="F35" i="7" s="1"/>
  <c r="B41" i="7"/>
  <c r="D41" i="7"/>
  <c r="F41" i="7"/>
  <c r="D45" i="7"/>
  <c r="F45" i="7"/>
  <c r="C50" i="7"/>
  <c r="C51" i="7" s="1"/>
  <c r="E50" i="7"/>
  <c r="C54" i="7"/>
  <c r="E54" i="7"/>
  <c r="F57" i="7"/>
  <c r="C33" i="7"/>
  <c r="C35" i="7" s="1"/>
  <c r="E33" i="7"/>
  <c r="E35" i="7" s="1"/>
  <c r="C41" i="7"/>
  <c r="E41" i="7"/>
  <c r="C45" i="7"/>
  <c r="D50" i="7"/>
  <c r="F50" i="7"/>
  <c r="C59" i="3"/>
  <c r="E59" i="3"/>
  <c r="C58" i="3"/>
  <c r="E58" i="3"/>
  <c r="F35" i="3"/>
  <c r="F59" i="3" s="1"/>
  <c r="D35" i="3"/>
  <c r="D59" i="3" s="1"/>
  <c r="B58" i="3"/>
  <c r="B34" i="3"/>
  <c r="B59" i="3" s="1"/>
  <c r="C40" i="8"/>
  <c r="C44" i="8"/>
  <c r="B33" i="4"/>
  <c r="B40" i="4"/>
  <c r="C64" i="2"/>
  <c r="B33" i="2"/>
  <c r="B34" i="1"/>
  <c r="B33" i="1"/>
  <c r="B35" i="1" s="1"/>
  <c r="B54" i="1"/>
  <c r="E58" i="1"/>
  <c r="C40" i="1"/>
  <c r="E40" i="1"/>
  <c r="C44" i="1"/>
  <c r="C45" i="1"/>
  <c r="E45" i="1"/>
  <c r="E46" i="1" s="1"/>
  <c r="E59" i="1"/>
  <c r="D40" i="1"/>
  <c r="B41" i="1"/>
  <c r="E64" i="1" l="1"/>
  <c r="F59" i="8"/>
  <c r="B58" i="1"/>
  <c r="F58" i="8"/>
  <c r="E64" i="2"/>
  <c r="D44" i="7"/>
  <c r="D46" i="7" s="1"/>
  <c r="C64" i="3"/>
  <c r="B51" i="3"/>
  <c r="E59" i="8"/>
  <c r="B50" i="8"/>
  <c r="D58" i="8"/>
  <c r="D58" i="1"/>
  <c r="B68" i="8"/>
  <c r="C58" i="1"/>
  <c r="E45" i="7"/>
  <c r="E46" i="7" s="1"/>
  <c r="F46" i="7"/>
  <c r="F64" i="7" s="1"/>
  <c r="D62" i="7"/>
  <c r="B54" i="8"/>
  <c r="B63" i="8"/>
  <c r="B49" i="8"/>
  <c r="B35" i="8"/>
  <c r="D40" i="8"/>
  <c r="E40" i="8"/>
  <c r="B57" i="7"/>
  <c r="D64" i="1"/>
  <c r="C46" i="1"/>
  <c r="C64" i="1" s="1"/>
  <c r="B35" i="2"/>
  <c r="B59" i="2" s="1"/>
  <c r="B58" i="2"/>
  <c r="B58" i="4"/>
  <c r="B35" i="4"/>
  <c r="B59" i="4" s="1"/>
  <c r="C54" i="8"/>
  <c r="C57" i="8"/>
  <c r="B57" i="8"/>
  <c r="B57" i="6"/>
  <c r="C57" i="6"/>
  <c r="B57" i="1"/>
  <c r="D40" i="6"/>
  <c r="D44" i="6"/>
  <c r="D35" i="6"/>
  <c r="E62" i="8"/>
  <c r="E45" i="8"/>
  <c r="E46" i="8" s="1"/>
  <c r="E62" i="6"/>
  <c r="E45" i="6"/>
  <c r="C62" i="7"/>
  <c r="B23" i="7"/>
  <c r="B67" i="7" s="1"/>
  <c r="C32" i="8"/>
  <c r="B32" i="8"/>
  <c r="B34" i="8" s="1"/>
  <c r="C32" i="6"/>
  <c r="B32" i="6"/>
  <c r="D34" i="7"/>
  <c r="D59" i="7" s="1"/>
  <c r="B45" i="1"/>
  <c r="B46" i="1" s="1"/>
  <c r="B62" i="1"/>
  <c r="B63" i="7"/>
  <c r="B50" i="7"/>
  <c r="B51" i="7" s="1"/>
  <c r="B33" i="7"/>
  <c r="B35" i="7" s="1"/>
  <c r="B44" i="4"/>
  <c r="B62" i="3"/>
  <c r="B44" i="3"/>
  <c r="B46" i="3" s="1"/>
  <c r="B40" i="3"/>
  <c r="B51" i="2"/>
  <c r="E40" i="6"/>
  <c r="E44" i="6"/>
  <c r="E35" i="6"/>
  <c r="E59" i="6" s="1"/>
  <c r="C40" i="6"/>
  <c r="C44" i="6"/>
  <c r="C35" i="6"/>
  <c r="D62" i="8"/>
  <c r="D45" i="8"/>
  <c r="D46" i="8" s="1"/>
  <c r="D62" i="6"/>
  <c r="D45" i="6"/>
  <c r="D46" i="6" s="1"/>
  <c r="E62" i="7"/>
  <c r="C62" i="8"/>
  <c r="B62" i="8"/>
  <c r="C45" i="8"/>
  <c r="C46" i="8" s="1"/>
  <c r="C62" i="6"/>
  <c r="C45" i="6"/>
  <c r="C32" i="7"/>
  <c r="C34" i="7" s="1"/>
  <c r="C59" i="7" s="1"/>
  <c r="B32" i="7"/>
  <c r="D34" i="8"/>
  <c r="D59" i="8" s="1"/>
  <c r="D34" i="6"/>
  <c r="D58" i="6"/>
  <c r="B23" i="4"/>
  <c r="B67" i="4" s="1"/>
  <c r="B45" i="4"/>
  <c r="B62" i="4"/>
  <c r="B62" i="2"/>
  <c r="B45" i="2"/>
  <c r="B46" i="2" s="1"/>
  <c r="E51" i="7"/>
  <c r="F51" i="7"/>
  <c r="C46" i="7"/>
  <c r="D58" i="7"/>
  <c r="E59" i="7"/>
  <c r="E58" i="7"/>
  <c r="B68" i="7"/>
  <c r="B54" i="7"/>
  <c r="D51" i="7"/>
  <c r="F58" i="7"/>
  <c r="F59" i="7"/>
  <c r="B23" i="3"/>
  <c r="B67" i="3" s="1"/>
  <c r="B23" i="2"/>
  <c r="B67" i="2" s="1"/>
  <c r="B59" i="1"/>
  <c r="B23" i="1"/>
  <c r="B67" i="1" s="1"/>
  <c r="E46" i="6" l="1"/>
  <c r="B58" i="8"/>
  <c r="D64" i="7"/>
  <c r="B59" i="8"/>
  <c r="B34" i="7"/>
  <c r="B59" i="7" s="1"/>
  <c r="B64" i="1"/>
  <c r="B23" i="8"/>
  <c r="B67" i="8" s="1"/>
  <c r="C64" i="8"/>
  <c r="C64" i="7"/>
  <c r="E64" i="6"/>
  <c r="E64" i="7"/>
  <c r="B45" i="7"/>
  <c r="B51" i="8"/>
  <c r="B46" i="4"/>
  <c r="B64" i="4" s="1"/>
  <c r="B45" i="8"/>
  <c r="C58" i="7"/>
  <c r="D64" i="8"/>
  <c r="C46" i="6"/>
  <c r="C64" i="6" s="1"/>
  <c r="B64" i="3"/>
  <c r="B34" i="6"/>
  <c r="B58" i="6"/>
  <c r="D59" i="6"/>
  <c r="B62" i="6"/>
  <c r="B45" i="6"/>
  <c r="B23" i="6"/>
  <c r="B67" i="6" s="1"/>
  <c r="D64" i="6"/>
  <c r="B40" i="6"/>
  <c r="B35" i="6"/>
  <c r="B44" i="6"/>
  <c r="B40" i="7"/>
  <c r="B44" i="7"/>
  <c r="C34" i="6"/>
  <c r="C59" i="6" s="1"/>
  <c r="C58" i="6"/>
  <c r="C34" i="8"/>
  <c r="C59" i="8" s="1"/>
  <c r="C58" i="8"/>
  <c r="B62" i="7"/>
  <c r="E64" i="8"/>
  <c r="B40" i="8"/>
  <c r="B44" i="8"/>
  <c r="B64" i="2"/>
  <c r="B58" i="7"/>
  <c r="B46" i="7" l="1"/>
  <c r="B64" i="7" s="1"/>
  <c r="B59" i="6"/>
  <c r="B46" i="8"/>
  <c r="B64" i="8" s="1"/>
  <c r="B46" i="6"/>
  <c r="B64" i="6" s="1"/>
</calcChain>
</file>

<file path=xl/comments1.xml><?xml version="1.0" encoding="utf-8"?>
<comments xmlns="http://schemas.openxmlformats.org/spreadsheetml/2006/main">
  <authors>
    <author>catherine.mata</author>
    <author>Diego Astorga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Con cambios en el presupuesto hechos en Mayo 2011</t>
        </r>
      </text>
    </comment>
  </commentList>
</comments>
</file>

<file path=xl/comments2.xml><?xml version="1.0" encoding="utf-8"?>
<comments xmlns="http://schemas.openxmlformats.org/spreadsheetml/2006/main">
  <authors>
    <author>catherine.mata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</commentList>
</comments>
</file>

<file path=xl/comments3.xml><?xml version="1.0" encoding="utf-8"?>
<comments xmlns="http://schemas.openxmlformats.org/spreadsheetml/2006/main">
  <authors>
    <author>catherine.mata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Monto para OBS y para CD conjuntamente</t>
        </r>
      </text>
    </comment>
  </commentList>
</comments>
</file>

<file path=xl/comments4.xml><?xml version="1.0" encoding="utf-8"?>
<comments xmlns="http://schemas.openxmlformats.org/spreadsheetml/2006/main">
  <authors>
    <author>Diego Astorga</author>
    <author>catherine.mata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Desde Setiembre del 2011 se presupuestó atender a 2429 beneficiarios por mes; en vez de los 629 que se habían presupuestado atender hasta Agosto del 2011.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</commentList>
</comments>
</file>

<file path=xl/comments5.xml><?xml version="1.0" encoding="utf-8"?>
<comments xmlns="http://schemas.openxmlformats.org/spreadsheetml/2006/main">
  <authors>
    <author>Diego Astorga</author>
    <author>catherine.mata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Desde Setiembre del 2011 se presupuestó atender a 2429 beneficiarios por mes; en vez de los 629 que se habían presupuestado atender hasta Agosto del 2011.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</commentList>
</comments>
</file>

<file path=xl/sharedStrings.xml><?xml version="1.0" encoding="utf-8"?>
<sst xmlns="http://schemas.openxmlformats.org/spreadsheetml/2006/main" count="482" uniqueCount="132">
  <si>
    <t>Indicador</t>
  </si>
  <si>
    <t>Total Programa</t>
  </si>
  <si>
    <t>Productos</t>
  </si>
  <si>
    <t>Red Cuido</t>
  </si>
  <si>
    <t>Infraestructura</t>
  </si>
  <si>
    <t>Insumos</t>
  </si>
  <si>
    <t>Efectivos 1T 2011</t>
  </si>
  <si>
    <t>Gasto FODESAF</t>
  </si>
  <si>
    <t>Ingresos FODESAF</t>
  </si>
  <si>
    <t>Otros insumos</t>
  </si>
  <si>
    <t>IPC (1T 2011)</t>
  </si>
  <si>
    <t>Población objetivo</t>
  </si>
  <si>
    <t>Cálculos intermedios</t>
  </si>
  <si>
    <t>Gasto efectivo real 1T 2011</t>
  </si>
  <si>
    <t>Gasto efectivo real por beneficiario 1T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</si>
  <si>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</si>
  <si>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</si>
  <si>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</si>
  <si>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</si>
  <si>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</si>
  <si>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</si>
  <si>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</si>
  <si>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</si>
  <si>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</si>
  <si>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</si>
  <si>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</si>
  <si>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</si>
  <si>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</si>
  <si>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</si>
  <si>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</si>
  <si>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</si>
  <si>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</si>
  <si>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</si>
  <si>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</si>
  <si>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</si>
  <si>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</si>
  <si>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</si>
  <si>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</si>
  <si>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</si>
  <si>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</si>
  <si>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</t>
  </si>
  <si>
    <t>programa</t>
  </si>
  <si>
    <t>Efectivos 2T 2011</t>
  </si>
  <si>
    <t>IPC (2T 2011)</t>
  </si>
  <si>
    <t>Gasto efectivo real 2T 2011</t>
  </si>
  <si>
    <t>Gasto efectivo real por beneficiario 2T 2011</t>
  </si>
  <si>
    <t xml:space="preserve">Fuentes: </t>
  </si>
  <si>
    <t>Efectivos 3T 2011</t>
  </si>
  <si>
    <t>IPC (3T 2011)</t>
  </si>
  <si>
    <t>Gasto efectivo real 3T 2011</t>
  </si>
  <si>
    <t>Gasto efectivo real por beneficiario 3T 2011</t>
  </si>
  <si>
    <t>Efectivos 4T 2011</t>
  </si>
  <si>
    <t>IPC (4T 2011)</t>
  </si>
  <si>
    <t>Gasto efectivo real 4T 2011</t>
  </si>
  <si>
    <t>Gasto efectivo real por beneficiario 4T 2011</t>
  </si>
  <si>
    <t>Efectivos 1S 2011</t>
  </si>
  <si>
    <t>IPC (1S 2011)</t>
  </si>
  <si>
    <t>Gasto efectivo real 1S 2011</t>
  </si>
  <si>
    <t>Gasto efectivo real por beneficiario 1S 2011</t>
  </si>
  <si>
    <t>Efectivos  2011</t>
  </si>
  <si>
    <t>IPC ( 2011)</t>
  </si>
  <si>
    <t>Gasto efectivo real  2011</t>
  </si>
  <si>
    <t>Gasto efectivo real por beneficiario  2011</t>
  </si>
  <si>
    <t>Efectivos 3TA 2011</t>
  </si>
  <si>
    <t>IPC (3TA 2011)</t>
  </si>
  <si>
    <t>Gasto efectivo real 3TA 2011</t>
  </si>
  <si>
    <t>Gasto efectivo real por beneficiario 3TA 2011</t>
  </si>
  <si>
    <t>Notas:</t>
  </si>
  <si>
    <t>La mayoría de los beneficiarios son los mismos todos los meses, por ello se utiliza el promedio de personas atendidas en el período.</t>
  </si>
  <si>
    <t>En el caso de beneficiarios de infraestructura se contabiliza la cantidad de obras.</t>
  </si>
  <si>
    <t>El producto de infraestructura empieza a regir hasta setiembre.</t>
  </si>
  <si>
    <t xml:space="preserve">Beneficiarios </t>
  </si>
  <si>
    <t>*De acuerdo a Desaf el giro de recursos fue de 2 361 734 156,22</t>
  </si>
  <si>
    <t>Total programa</t>
  </si>
  <si>
    <t>Indicadores aplicados a CONAPAM Primer Trimestre 2012</t>
  </si>
  <si>
    <t>Programados 1T 2012</t>
  </si>
  <si>
    <t>Efectivos 1T 2012</t>
  </si>
  <si>
    <t>Programados año 2012</t>
  </si>
  <si>
    <t>En transferencias 1T 2012</t>
  </si>
  <si>
    <t>IPC (1T 2012)</t>
  </si>
  <si>
    <t>Gasto efectivo real 1T 2012</t>
  </si>
  <si>
    <t>Gasto efectivo real por beneficiario 1T 2012</t>
  </si>
  <si>
    <t>PAO 2012 CONAPAM</t>
  </si>
  <si>
    <t>Informes Trimestrales 2012 CONAPAM</t>
  </si>
  <si>
    <t>Modificaciones del Presupuesto Ordinario 2012</t>
  </si>
  <si>
    <t>Indicadores aplicados a CONAPAM Segundo Trimestre 2012</t>
  </si>
  <si>
    <t>Programados 2T 2012</t>
  </si>
  <si>
    <t>Efectivos 2T 2012</t>
  </si>
  <si>
    <t>En transferencias 2T 2012</t>
  </si>
  <si>
    <t>IPC (2T 2012)</t>
  </si>
  <si>
    <t>Gasto efectivo real 2T 2012</t>
  </si>
  <si>
    <t>Gasto efectivo real por beneficiario 2T 2012</t>
  </si>
  <si>
    <t>Indicadores aplicados a CONAPAM Tercer trimestre 2012</t>
  </si>
  <si>
    <t>Programados 3T 2012</t>
  </si>
  <si>
    <t>Efectivos 3T 2012</t>
  </si>
  <si>
    <t>En transferencias 3T 2012</t>
  </si>
  <si>
    <t>IPC (3T 2012)</t>
  </si>
  <si>
    <t>Gasto efectivo real 3T 2012</t>
  </si>
  <si>
    <t>Gasto efectivo real por beneficiario 3T 2012</t>
  </si>
  <si>
    <t>Indicadores aplicados a CONAPAM Cuarto trimestre 2012</t>
  </si>
  <si>
    <t>Programados 4T 2012</t>
  </si>
  <si>
    <t>Efectivos 4T 2012</t>
  </si>
  <si>
    <t>En transferencias 4T 2012</t>
  </si>
  <si>
    <t>IPC (4T 2012)</t>
  </si>
  <si>
    <t>Gasto efectivo real 4T 2012</t>
  </si>
  <si>
    <t>Gasto efectivo real por beneficiario 4T 2012</t>
  </si>
  <si>
    <t>Indicadores aplicados a CONAPAM  Primer Semestre 2012</t>
  </si>
  <si>
    <t>Programados 1S 2012</t>
  </si>
  <si>
    <t>Efectivos 1S 2012</t>
  </si>
  <si>
    <t>En transferencias 1S 2012</t>
  </si>
  <si>
    <t>IPC (1S 2012)</t>
  </si>
  <si>
    <t>Gasto efectivo real 1S 2012</t>
  </si>
  <si>
    <t>Gasto efectivo real por beneficiario 1S 2012</t>
  </si>
  <si>
    <t>Indicadores aplicados a CONAPAM  Tercer Trimestre Acumulado 2012</t>
  </si>
  <si>
    <t>Programados 3TA 2012</t>
  </si>
  <si>
    <t>Efectivos 3TA 2012</t>
  </si>
  <si>
    <t>En transferencias 3TA 2012</t>
  </si>
  <si>
    <t>IPC (3TA 2012)</t>
  </si>
  <si>
    <t>Gasto efectivo real 3TA 2012</t>
  </si>
  <si>
    <t>Gasto efectivo real por beneficiario 3TA 2012</t>
  </si>
  <si>
    <t>Indicadores aplicados a CONAPAM 2012</t>
  </si>
  <si>
    <t>Programados  2012</t>
  </si>
  <si>
    <t>Efectivos  2012</t>
  </si>
  <si>
    <t>En transferencias  2012</t>
  </si>
  <si>
    <t>IPC ( 2012)</t>
  </si>
  <si>
    <t>Gasto efectivo real  2012</t>
  </si>
  <si>
    <t>Gasto efectivo real por beneficiario  2012</t>
  </si>
  <si>
    <t>Informe de Liquidación Período 2011, Departamento de Evaluación, Control y Seguimiento, FODESAF</t>
  </si>
  <si>
    <t>Hogares</t>
  </si>
  <si>
    <t>Centros Diurnos</t>
  </si>
  <si>
    <t>La población objetivo son los adultos mayores pobres que viven solos de acuerdo a la ENAHO 2011</t>
  </si>
  <si>
    <t>Fecha de actualización: 22/05/2013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</si>
</sst>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____"/>
    <numFmt numFmtId="167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3" fontId="0" fillId="0" borderId="0" xfId="0" applyNumberFormat="1"/>
    <xf numFmtId="0" fontId="0" fillId="0" borderId="0" xfId="0" applyFill="1" applyAlignment="1">
      <alignment horizontal="left" indent="1"/>
    </xf>
    <xf numFmtId="3" fontId="0" fillId="0" borderId="0" xfId="0" applyNumberFormat="1" applyFill="1"/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0" fillId="0" borderId="0" xfId="0" applyFill="1" applyAlignment="1">
      <alignment horizontal="left"/>
    </xf>
    <xf numFmtId="0" fontId="2" fillId="0" borderId="0" xfId="0" applyFont="1"/>
    <xf numFmtId="165" fontId="0" fillId="0" borderId="0" xfId="0" applyNumberFormat="1" applyFill="1"/>
    <xf numFmtId="0" fontId="3" fillId="0" borderId="0" xfId="0" applyFont="1" applyFill="1"/>
    <xf numFmtId="166" fontId="0" fillId="0" borderId="0" xfId="0" applyNumberFormat="1" applyFill="1"/>
    <xf numFmtId="0" fontId="0" fillId="0" borderId="3" xfId="0" applyFill="1" applyBorder="1"/>
    <xf numFmtId="167" fontId="0" fillId="0" borderId="0" xfId="0" applyNumberFormat="1"/>
    <xf numFmtId="2" fontId="0" fillId="0" borderId="0" xfId="0" applyNumberFormat="1" applyFill="1"/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0" fillId="0" borderId="3" xfId="0" applyBorder="1"/>
    <xf numFmtId="43" fontId="2" fillId="0" borderId="0" xfId="1" applyFont="1"/>
    <xf numFmtId="3" fontId="0" fillId="0" borderId="0" xfId="0" applyNumberFormat="1" applyFill="1" applyAlignment="1"/>
    <xf numFmtId="43" fontId="0" fillId="0" borderId="0" xfId="1" applyFont="1" applyFill="1"/>
    <xf numFmtId="164" fontId="0" fillId="0" borderId="0" xfId="1" applyNumberFormat="1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0" borderId="0" xfId="0" applyNumberForma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Cobertura Potencial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'Anual 2012'!$A$40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'Anual 2012'!$B$5:$F$5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'Anual 2012'!$B$40</c:f>
              <c:numCache>
                <c:formatCode>#,##0.0____</c:formatCode>
                <c:ptCount val="1"/>
                <c:pt idx="0">
                  <c:v>22.293338801335754</c:v>
                </c:pt>
              </c:numCache>
            </c:numRef>
          </c:val>
        </c:ser>
        <c:ser>
          <c:idx val="1"/>
          <c:order val="1"/>
          <c:tx>
            <c:strRef>
              <c:f>'Anual 2012'!$A$41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'Anual 2012'!$B$5:$F$5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'Anual 2012'!$B$41</c:f>
              <c:numCache>
                <c:formatCode>#,##0.0____</c:formatCode>
                <c:ptCount val="1"/>
                <c:pt idx="0">
                  <c:v>19.741929814283203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069664"/>
        <c:axId val="290070416"/>
      </c:barChart>
      <c:catAx>
        <c:axId val="29006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0070416"/>
        <c:crosses val="autoZero"/>
        <c:auto val="1"/>
        <c:lblAlgn val="ctr"/>
        <c:lblOffset val="100"/>
        <c:noMultiLvlLbl val="0"/>
      </c:catAx>
      <c:valAx>
        <c:axId val="29007041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90069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Resultado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'Anual 2012'!$A$44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2012'!$B$44:$E$44</c:f>
              <c:numCache>
                <c:formatCode>#,##0.0____</c:formatCode>
                <c:ptCount val="4"/>
                <c:pt idx="0">
                  <c:v>88.555285460876419</c:v>
                </c:pt>
                <c:pt idx="1">
                  <c:v>92.741234424804404</c:v>
                </c:pt>
                <c:pt idx="2">
                  <c:v>77.730047479086593</c:v>
                </c:pt>
                <c:pt idx="3">
                  <c:v>93.429158110882966</c:v>
                </c:pt>
              </c:numCache>
            </c:numRef>
          </c:val>
        </c:ser>
        <c:ser>
          <c:idx val="0"/>
          <c:order val="1"/>
          <c:tx>
            <c:strRef>
              <c:f>'Anual 2012'!$A$45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2012'!$B$45:$E$45</c:f>
              <c:numCache>
                <c:formatCode>#,##0.0____</c:formatCode>
                <c:ptCount val="4"/>
                <c:pt idx="0">
                  <c:v>74.951676261493205</c:v>
                </c:pt>
                <c:pt idx="1">
                  <c:v>93.06828788888356</c:v>
                </c:pt>
                <c:pt idx="2">
                  <c:v>77.692365664330396</c:v>
                </c:pt>
                <c:pt idx="3">
                  <c:v>94.151366106011182</c:v>
                </c:pt>
              </c:numCache>
            </c:numRef>
          </c:val>
        </c:ser>
        <c:ser>
          <c:idx val="2"/>
          <c:order val="2"/>
          <c:tx>
            <c:strRef>
              <c:f>'Anual 2012'!$A$46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2012'!$B$46:$E$46</c:f>
              <c:numCache>
                <c:formatCode>#,##0.0____</c:formatCode>
                <c:ptCount val="4"/>
                <c:pt idx="0">
                  <c:v>81.753480861184812</c:v>
                </c:pt>
                <c:pt idx="1">
                  <c:v>92.904761156843989</c:v>
                </c:pt>
                <c:pt idx="2">
                  <c:v>77.711206571708487</c:v>
                </c:pt>
                <c:pt idx="3">
                  <c:v>93.790262108447081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56040"/>
        <c:axId val="290764616"/>
      </c:barChart>
      <c:catAx>
        <c:axId val="290756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0764616"/>
        <c:crosses val="autoZero"/>
        <c:auto val="1"/>
        <c:lblAlgn val="ctr"/>
        <c:lblOffset val="100"/>
        <c:noMultiLvlLbl val="0"/>
      </c:catAx>
      <c:valAx>
        <c:axId val="29076461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90756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Avance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'Anual 2012'!$A$49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2012'!$B$49:$E$49</c:f>
              <c:numCache>
                <c:formatCode>#,##0.0____</c:formatCode>
                <c:ptCount val="4"/>
                <c:pt idx="0">
                  <c:v>86.916430229558941</c:v>
                </c:pt>
                <c:pt idx="1">
                  <c:v>92.021276595744681</c:v>
                </c:pt>
                <c:pt idx="2">
                  <c:v>73.840206185567013</c:v>
                </c:pt>
                <c:pt idx="3">
                  <c:v>93.429158110882966</c:v>
                </c:pt>
              </c:numCache>
            </c:numRef>
          </c:val>
        </c:ser>
        <c:ser>
          <c:idx val="1"/>
          <c:order val="1"/>
          <c:tx>
            <c:strRef>
              <c:f>'Anual 2012'!$A$50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2012'!$B$50:$E$50</c:f>
              <c:numCache>
                <c:formatCode>#,##0.0____</c:formatCode>
                <c:ptCount val="4"/>
                <c:pt idx="0">
                  <c:v>74.95190268782946</c:v>
                </c:pt>
                <c:pt idx="1">
                  <c:v>93.06828788888356</c:v>
                </c:pt>
                <c:pt idx="2">
                  <c:v>77.695611355795506</c:v>
                </c:pt>
                <c:pt idx="3">
                  <c:v>94.151364599589328</c:v>
                </c:pt>
              </c:numCache>
            </c:numRef>
          </c:val>
        </c:ser>
        <c:ser>
          <c:idx val="2"/>
          <c:order val="2"/>
          <c:tx>
            <c:strRef>
              <c:f>'Anual 2012'!$A$51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2012'!$B$51:$E$51</c:f>
              <c:numCache>
                <c:formatCode>#,##0.0____</c:formatCode>
                <c:ptCount val="4"/>
                <c:pt idx="0">
                  <c:v>80.934166458694193</c:v>
                </c:pt>
                <c:pt idx="1">
                  <c:v>92.544782242314113</c:v>
                </c:pt>
                <c:pt idx="2">
                  <c:v>75.76790877068126</c:v>
                </c:pt>
                <c:pt idx="3">
                  <c:v>93.79026135523614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854864"/>
        <c:axId val="290855248"/>
      </c:barChart>
      <c:catAx>
        <c:axId val="29085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0855248"/>
        <c:crosses val="autoZero"/>
        <c:auto val="1"/>
        <c:lblAlgn val="ctr"/>
        <c:lblOffset val="100"/>
        <c:noMultiLvlLbl val="0"/>
      </c:catAx>
      <c:valAx>
        <c:axId val="2908552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90854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Expansión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'Anual 2012'!$A$57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2012'!$B$57:$E$57</c:f>
              <c:numCache>
                <c:formatCode>#,##0.0____</c:formatCode>
                <c:ptCount val="4"/>
                <c:pt idx="0">
                  <c:v>9.8771805880115249</c:v>
                </c:pt>
                <c:pt idx="1">
                  <c:v>10.153157804164525</c:v>
                </c:pt>
                <c:pt idx="2">
                  <c:v>47.342857142857127</c:v>
                </c:pt>
                <c:pt idx="3">
                  <c:v>-11.714770797962649</c:v>
                </c:pt>
              </c:numCache>
            </c:numRef>
          </c:val>
        </c:ser>
        <c:ser>
          <c:idx val="1"/>
          <c:order val="1"/>
          <c:tx>
            <c:strRef>
              <c:f>'Anual 2012'!$A$58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2012'!$B$58:$E$58</c:f>
              <c:numCache>
                <c:formatCode>#,##0.0____</c:formatCode>
                <c:ptCount val="4"/>
                <c:pt idx="0">
                  <c:v>8.1750083850588915</c:v>
                </c:pt>
                <c:pt idx="1">
                  <c:v>-5.7164936185909347</c:v>
                </c:pt>
                <c:pt idx="2">
                  <c:v>30.917141389418944</c:v>
                </c:pt>
                <c:pt idx="3">
                  <c:v>15.932891554544316</c:v>
                </c:pt>
              </c:numCache>
            </c:numRef>
          </c:val>
        </c:ser>
        <c:ser>
          <c:idx val="2"/>
          <c:order val="2"/>
          <c:tx>
            <c:strRef>
              <c:f>'Anual 2012'!$A$59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2012'!$B$59:$E$59</c:f>
              <c:numCache>
                <c:formatCode>#,##0.0____</c:formatCode>
                <c:ptCount val="4"/>
                <c:pt idx="0">
                  <c:v>-1.5491589735406319</c:v>
                </c:pt>
                <c:pt idx="1">
                  <c:v>-14.406896487678777</c:v>
                </c:pt>
                <c:pt idx="2">
                  <c:v>-11.147955233087782</c:v>
                </c:pt>
                <c:pt idx="3">
                  <c:v>31.316294472358862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15440"/>
        <c:axId val="290915824"/>
      </c:barChart>
      <c:catAx>
        <c:axId val="29091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0915824"/>
        <c:crosses val="autoZero"/>
        <c:auto val="1"/>
        <c:lblAlgn val="ctr"/>
        <c:lblOffset val="100"/>
        <c:noMultiLvlLbl val="0"/>
      </c:catAx>
      <c:valAx>
        <c:axId val="2909158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90915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Gasto Medio</a:t>
            </a:r>
            <a:r>
              <a:rPr lang="es-CR" sz="1400" baseline="0"/>
              <a:t> 2012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'Anual 2012'!$A$62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cat>
            <c:strRef>
              <c:f>'Anual 2012'!$B$5:$F$5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'Anual 2012'!$B$62:$E$62</c:f>
              <c:numCache>
                <c:formatCode>#,##0</c:formatCode>
                <c:ptCount val="4"/>
                <c:pt idx="0">
                  <c:v>116480.46751199002</c:v>
                </c:pt>
                <c:pt idx="1">
                  <c:v>72359.558823529413</c:v>
                </c:pt>
                <c:pt idx="2">
                  <c:v>29058</c:v>
                </c:pt>
                <c:pt idx="3">
                  <c:v>208333.33</c:v>
                </c:pt>
              </c:numCache>
            </c:numRef>
          </c:val>
        </c:ser>
        <c:ser>
          <c:idx val="1"/>
          <c:order val="1"/>
          <c:tx>
            <c:strRef>
              <c:f>'Anual 2012'!$A$63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'Anual 2012'!$B$5:$F$5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'Anual 2012'!$B$63:$E$63</c:f>
              <c:numCache>
                <c:formatCode>#,##0</c:formatCode>
                <c:ptCount val="4"/>
                <c:pt idx="0">
                  <c:v>98587.071864876227</c:v>
                </c:pt>
                <c:pt idx="1">
                  <c:v>72614.735978753321</c:v>
                </c:pt>
                <c:pt idx="2">
                  <c:v>29043.913321698663</c:v>
                </c:pt>
                <c:pt idx="3">
                  <c:v>209943.74798534799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56200"/>
        <c:axId val="290964800"/>
      </c:barChart>
      <c:catAx>
        <c:axId val="290956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0964800"/>
        <c:crosses val="autoZero"/>
        <c:auto val="1"/>
        <c:lblAlgn val="ctr"/>
        <c:lblOffset val="100"/>
        <c:noMultiLvlLbl val="0"/>
      </c:catAx>
      <c:valAx>
        <c:axId val="290964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Colones Corrientes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290956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Giro de Recursos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'Anual 2012'!$A$67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2012'!$B$67</c:f>
              <c:numCache>
                <c:formatCode>#,##0.0____</c:formatCode>
                <c:ptCount val="1"/>
                <c:pt idx="0">
                  <c:v>78.264041105665157</c:v>
                </c:pt>
              </c:numCache>
            </c:numRef>
          </c:val>
        </c:ser>
        <c:ser>
          <c:idx val="2"/>
          <c:order val="1"/>
          <c:tx>
            <c:strRef>
              <c:f>'Anual 2012'!$A$68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'Anual 2012'!$B$5:$E$5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'Anual 2012'!$B$68</c:f>
              <c:numCache>
                <c:formatCode>#,##0.0____</c:formatCode>
                <c:ptCount val="1"/>
                <c:pt idx="0">
                  <c:v>95.767705324978181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90966760"/>
        <c:axId val="290967152"/>
      </c:barChart>
      <c:catAx>
        <c:axId val="290966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0967152"/>
        <c:crosses val="autoZero"/>
        <c:auto val="1"/>
        <c:lblAlgn val="ctr"/>
        <c:lblOffset val="100"/>
        <c:noMultiLvlLbl val="0"/>
      </c:catAx>
      <c:valAx>
        <c:axId val="29096715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2909667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303741</xdr:colOff>
      <xdr:row>4</xdr:row>
      <xdr:rowOff>169862</xdr:rowOff>
    </xdr:from>
    <xdr:to>
      <xdr:col>11</xdr:col>
      <xdr:colOff>579966</xdr:colOff>
      <xdr:row>19</xdr:row>
      <xdr:rowOff>34395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365124</xdr:colOff>
      <xdr:row>22</xdr:row>
      <xdr:rowOff>88900</xdr:rowOff>
    </xdr:from>
    <xdr:to>
      <xdr:col>11</xdr:col>
      <xdr:colOff>640291</xdr:colOff>
      <xdr:row>36</xdr:row>
      <xdr:rowOff>165100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343958</xdr:colOff>
      <xdr:row>38</xdr:row>
      <xdr:rowOff>25400</xdr:rowOff>
    </xdr:from>
    <xdr:to>
      <xdr:col>11</xdr:col>
      <xdr:colOff>619125</xdr:colOff>
      <xdr:row>52</xdr:row>
      <xdr:rowOff>101600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418040</xdr:colOff>
      <xdr:row>53</xdr:row>
      <xdr:rowOff>184150</xdr:rowOff>
    </xdr:from>
    <xdr:to>
      <xdr:col>11</xdr:col>
      <xdr:colOff>693207</xdr:colOff>
      <xdr:row>68</xdr:row>
      <xdr:rowOff>69850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576791</xdr:colOff>
      <xdr:row>69</xdr:row>
      <xdr:rowOff>141816</xdr:rowOff>
    </xdr:from>
    <xdr:to>
      <xdr:col>12</xdr:col>
      <xdr:colOff>486834</xdr:colOff>
      <xdr:row>85</xdr:row>
      <xdr:rowOff>179915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640291</xdr:colOff>
      <xdr:row>85</xdr:row>
      <xdr:rowOff>35982</xdr:rowOff>
    </xdr:from>
    <xdr:to>
      <xdr:col>6</xdr:col>
      <xdr:colOff>349250</xdr:colOff>
      <xdr:row>101</xdr:row>
      <xdr:rowOff>126999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0"/>
  <sheetViews>
    <sheetView topLeftCell="B16" workbookViewId="0">
      <selection activeCell="D188" sqref="D188:I190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6.85546875" bestFit="1" customWidth="1"/>
    <col min="4" max="4" width="15.140625" bestFit="1" customWidth="1"/>
    <col min="5" max="5" width="12.7109375" bestFit="1" customWidth="1"/>
    <col min="6" max="6" width="14.5703125" customWidth="1"/>
  </cols>
  <sheetData>
    <row r="2" spans="1:6" ht="15.75" x14ac:dyDescent="0.25">
      <c r="A2" s="26" t="s">
        <v>74</v>
      </c>
      <c r="B2" s="26"/>
      <c r="C2" s="26"/>
      <c r="D2" s="26"/>
      <c r="E2" s="26"/>
    </row>
    <row r="4" spans="1:6" ht="15" customHeight="1" x14ac:dyDescent="0.25">
      <c r="A4" s="27" t="s">
        <v>0</v>
      </c>
      <c r="B4" s="29" t="s">
        <v>1</v>
      </c>
      <c r="C4" s="31" t="s">
        <v>2</v>
      </c>
      <c r="D4" s="31"/>
      <c r="E4" s="31"/>
      <c r="F4" s="31"/>
    </row>
    <row r="5" spans="1:6" ht="15.75" thickBot="1" x14ac:dyDescent="0.3">
      <c r="A5" s="28"/>
      <c r="B5" s="30"/>
      <c r="C5" s="1" t="s">
        <v>128</v>
      </c>
      <c r="D5" s="1" t="s">
        <v>129</v>
      </c>
      <c r="E5" s="1" t="s">
        <v>3</v>
      </c>
      <c r="F5" s="1" t="s">
        <v>4</v>
      </c>
    </row>
    <row r="6" spans="1:6" ht="15.75" thickTop="1" x14ac:dyDescent="0.25"/>
    <row r="7" spans="1:6" x14ac:dyDescent="0.25">
      <c r="A7" s="2" t="s">
        <v>5</v>
      </c>
    </row>
    <row r="9" spans="1:6" x14ac:dyDescent="0.25">
      <c r="A9" t="s">
        <v>71</v>
      </c>
      <c r="C9" s="3"/>
    </row>
    <row r="10" spans="1:6" x14ac:dyDescent="0.25">
      <c r="A10" s="4" t="s">
        <v>6</v>
      </c>
      <c r="B10" s="5">
        <f>SUM(C10:F10)</f>
        <v>1623</v>
      </c>
      <c r="C10" s="5">
        <v>1102</v>
      </c>
      <c r="D10" s="5">
        <v>450</v>
      </c>
      <c r="E10" s="5">
        <v>71</v>
      </c>
      <c r="F10" s="5"/>
    </row>
    <row r="11" spans="1:6" x14ac:dyDescent="0.25">
      <c r="A11" s="6" t="s">
        <v>75</v>
      </c>
      <c r="B11" s="5">
        <f>SUM(C11:F11)</f>
        <v>3594</v>
      </c>
      <c r="C11" s="5">
        <v>1685</v>
      </c>
      <c r="D11" s="5">
        <v>931</v>
      </c>
      <c r="E11" s="5">
        <v>974</v>
      </c>
      <c r="F11" s="5">
        <v>4</v>
      </c>
    </row>
    <row r="12" spans="1:6" x14ac:dyDescent="0.25">
      <c r="A12" s="6" t="s">
        <v>76</v>
      </c>
      <c r="B12" s="5">
        <f>SUM(C12:F12)</f>
        <v>2686</v>
      </c>
      <c r="C12" s="5">
        <v>1470</v>
      </c>
      <c r="D12" s="5">
        <v>739</v>
      </c>
      <c r="E12" s="5">
        <v>477</v>
      </c>
      <c r="F12" s="5"/>
    </row>
    <row r="13" spans="1:6" x14ac:dyDescent="0.25">
      <c r="A13" s="6" t="s">
        <v>77</v>
      </c>
      <c r="B13" s="5">
        <f>SUM(C13:F13)</f>
        <v>3594</v>
      </c>
      <c r="C13" s="5">
        <v>1685</v>
      </c>
      <c r="D13" s="5">
        <v>931</v>
      </c>
      <c r="E13" s="5">
        <v>974</v>
      </c>
      <c r="F13" s="5">
        <v>4</v>
      </c>
    </row>
    <row r="14" spans="1:6" x14ac:dyDescent="0.25">
      <c r="B14" s="7"/>
      <c r="C14" s="7"/>
      <c r="D14" s="7"/>
      <c r="E14" s="7"/>
      <c r="F14" s="7"/>
    </row>
    <row r="15" spans="1:6" x14ac:dyDescent="0.25">
      <c r="A15" s="8" t="s">
        <v>7</v>
      </c>
      <c r="B15" s="7"/>
      <c r="C15" s="7"/>
      <c r="D15" s="7"/>
      <c r="E15" s="7"/>
      <c r="F15" s="7"/>
    </row>
    <row r="16" spans="1:6" x14ac:dyDescent="0.25">
      <c r="A16" s="4" t="s">
        <v>6</v>
      </c>
      <c r="B16" s="5">
        <f>SUM(C16:E16)</f>
        <v>274062431.06999999</v>
      </c>
      <c r="C16" s="5">
        <v>214807522.06999999</v>
      </c>
      <c r="D16" s="5">
        <v>35134482</v>
      </c>
      <c r="E16" s="5">
        <v>24120427</v>
      </c>
      <c r="F16" s="5"/>
    </row>
    <row r="17" spans="1:7" x14ac:dyDescent="0.25">
      <c r="A17" s="6" t="s">
        <v>75</v>
      </c>
      <c r="B17" s="5">
        <f>SUM(C17:E17)</f>
        <v>1057129459.26</v>
      </c>
      <c r="C17" s="9">
        <v>367220475</v>
      </c>
      <c r="D17" s="5">
        <v>81158994</v>
      </c>
      <c r="E17" s="5">
        <v>608749990.25999999</v>
      </c>
      <c r="F17" s="5">
        <v>249999999.99000001</v>
      </c>
    </row>
    <row r="18" spans="1:7" x14ac:dyDescent="0.25">
      <c r="A18" s="6" t="s">
        <v>76</v>
      </c>
      <c r="B18" s="5">
        <f>SUM(C18:E18)</f>
        <v>683773173</v>
      </c>
      <c r="C18" s="5">
        <v>321018255</v>
      </c>
      <c r="D18" s="5">
        <v>64421586</v>
      </c>
      <c r="E18" s="5">
        <v>298333332</v>
      </c>
      <c r="F18" s="5"/>
    </row>
    <row r="19" spans="1:7" x14ac:dyDescent="0.25">
      <c r="A19" s="6" t="s">
        <v>77</v>
      </c>
      <c r="B19" s="5">
        <f>SUM(C19:E19)</f>
        <v>4228517876</v>
      </c>
      <c r="C19" s="9">
        <v>1468881900</v>
      </c>
      <c r="D19" s="5">
        <v>324635976</v>
      </c>
      <c r="E19" s="5">
        <v>2435000000</v>
      </c>
      <c r="F19" s="5">
        <v>1000000000</v>
      </c>
    </row>
    <row r="20" spans="1:7" x14ac:dyDescent="0.25">
      <c r="A20" s="6" t="s">
        <v>78</v>
      </c>
      <c r="B20" s="5">
        <f>SUM(C20:E20)</f>
        <v>683773173</v>
      </c>
      <c r="C20" s="5">
        <f>C18</f>
        <v>321018255</v>
      </c>
      <c r="D20" s="5">
        <f t="shared" ref="D20:E20" si="0">D18</f>
        <v>64421586</v>
      </c>
      <c r="E20" s="5">
        <f t="shared" si="0"/>
        <v>298333332</v>
      </c>
      <c r="F20" s="5"/>
    </row>
    <row r="21" spans="1:7" x14ac:dyDescent="0.25">
      <c r="B21" s="5"/>
      <c r="C21" s="9"/>
      <c r="D21" s="5"/>
      <c r="E21" s="5"/>
      <c r="F21" s="5"/>
    </row>
    <row r="22" spans="1:7" x14ac:dyDescent="0.25">
      <c r="A22" s="10" t="s">
        <v>8</v>
      </c>
      <c r="B22" s="5"/>
      <c r="C22" s="5"/>
      <c r="D22" s="5"/>
      <c r="E22" s="5"/>
      <c r="F22" s="5"/>
    </row>
    <row r="23" spans="1:7" x14ac:dyDescent="0.25">
      <c r="A23" s="4" t="s">
        <v>75</v>
      </c>
      <c r="B23" s="5">
        <f>B17</f>
        <v>1057129459.26</v>
      </c>
      <c r="C23" s="5"/>
      <c r="D23" s="5"/>
      <c r="E23" s="5"/>
      <c r="F23" s="5"/>
      <c r="G23" s="11"/>
    </row>
    <row r="24" spans="1:7" x14ac:dyDescent="0.25">
      <c r="A24" s="4" t="s">
        <v>76</v>
      </c>
      <c r="B24" s="5">
        <v>704752972</v>
      </c>
      <c r="C24" s="5"/>
      <c r="D24" s="5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9</v>
      </c>
      <c r="B26" s="7"/>
      <c r="C26" s="7"/>
      <c r="D26" s="7"/>
      <c r="E26" s="7"/>
      <c r="F26" s="7"/>
    </row>
    <row r="27" spans="1:7" x14ac:dyDescent="0.25">
      <c r="A27" s="4" t="s">
        <v>10</v>
      </c>
      <c r="B27" s="24">
        <v>1.4459435845999999</v>
      </c>
      <c r="C27" s="24">
        <v>1.4459435845999999</v>
      </c>
      <c r="D27" s="24">
        <v>1.4459435845999999</v>
      </c>
      <c r="E27" s="24">
        <v>1.4459435845999999</v>
      </c>
      <c r="F27" s="12"/>
    </row>
    <row r="28" spans="1:7" x14ac:dyDescent="0.25">
      <c r="A28" s="4" t="s">
        <v>79</v>
      </c>
      <c r="B28" s="24">
        <v>1.5060713566999999</v>
      </c>
      <c r="C28" s="24">
        <v>1.5060713566999999</v>
      </c>
      <c r="D28" s="24">
        <v>1.5060713566999999</v>
      </c>
      <c r="E28" s="24">
        <v>1.5060713566999999</v>
      </c>
      <c r="F28" s="12"/>
    </row>
    <row r="29" spans="1:7" x14ac:dyDescent="0.25">
      <c r="A29" s="4" t="s">
        <v>11</v>
      </c>
      <c r="B29" s="5">
        <v>17069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12</v>
      </c>
      <c r="B31" s="7"/>
      <c r="C31" s="7"/>
      <c r="D31" s="7"/>
      <c r="E31" s="7"/>
      <c r="F31" s="7"/>
    </row>
    <row r="32" spans="1:7" x14ac:dyDescent="0.25">
      <c r="A32" s="7" t="s">
        <v>13</v>
      </c>
      <c r="B32" s="5">
        <f>B16/B27</f>
        <v>189538813.26277024</v>
      </c>
      <c r="C32" s="5">
        <f>C16/C27</f>
        <v>148558715.81561288</v>
      </c>
      <c r="D32" s="5">
        <f>D16/D27</f>
        <v>24298653.40128015</v>
      </c>
      <c r="E32" s="5">
        <f>E16/E27</f>
        <v>16681444.045877198</v>
      </c>
      <c r="F32" s="5"/>
    </row>
    <row r="33" spans="1:6" x14ac:dyDescent="0.25">
      <c r="A33" s="7" t="s">
        <v>80</v>
      </c>
      <c r="B33" s="5">
        <f>B18/B28</f>
        <v>454011139.61707419</v>
      </c>
      <c r="C33" s="5">
        <f>C18/C28</f>
        <v>213149432.50988662</v>
      </c>
      <c r="D33" s="5">
        <f>D18/D28</f>
        <v>42774590.801033594</v>
      </c>
      <c r="E33" s="5">
        <f>E18/E28</f>
        <v>198087116.30615398</v>
      </c>
      <c r="F33" s="5"/>
    </row>
    <row r="34" spans="1:6" x14ac:dyDescent="0.25">
      <c r="A34" s="7" t="s">
        <v>14</v>
      </c>
      <c r="B34" s="5">
        <f>$B$32/(B10*3)</f>
        <v>38927.667542158604</v>
      </c>
      <c r="C34" s="5">
        <f>C32/(C10*3)</f>
        <v>44936.090688328157</v>
      </c>
      <c r="D34" s="5">
        <f t="shared" ref="D34:E34" si="1">D32/(D10*3)</f>
        <v>17999.002519466776</v>
      </c>
      <c r="E34" s="5">
        <f t="shared" si="1"/>
        <v>78316.638713038483</v>
      </c>
      <c r="F34" s="5"/>
    </row>
    <row r="35" spans="1:6" x14ac:dyDescent="0.25">
      <c r="A35" s="7" t="s">
        <v>81</v>
      </c>
      <c r="B35" s="5">
        <f>$B$33/(B12*3)</f>
        <v>56342.906380872948</v>
      </c>
      <c r="C35" s="5">
        <f>C33/(C12*3)</f>
        <v>48333.204650767941</v>
      </c>
      <c r="D35" s="5">
        <f t="shared" ref="D35:E35" si="2">D33/(D12*3)</f>
        <v>19293.90654083608</v>
      </c>
      <c r="E35" s="5">
        <f t="shared" si="2"/>
        <v>138425.6577960545</v>
      </c>
      <c r="F35" s="5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15</v>
      </c>
      <c r="B37" s="7"/>
      <c r="C37" s="7"/>
      <c r="D37" s="7"/>
      <c r="E37" s="7"/>
      <c r="F37" s="7"/>
    </row>
    <row r="38" spans="1:6" x14ac:dyDescent="0.25">
      <c r="B38" s="7"/>
      <c r="C38" s="7"/>
      <c r="D38" s="7"/>
      <c r="E38" s="7"/>
      <c r="F38" s="7"/>
    </row>
    <row r="39" spans="1:6" x14ac:dyDescent="0.25">
      <c r="A39" t="s">
        <v>16</v>
      </c>
      <c r="B39" s="7"/>
      <c r="C39" s="7"/>
      <c r="D39" s="7"/>
      <c r="E39" s="7"/>
      <c r="F39" s="7"/>
    </row>
    <row r="40" spans="1:6" x14ac:dyDescent="0.25">
      <c r="A40" t="s">
        <v>17</v>
      </c>
      <c r="B40" s="14">
        <f>B11/B29*100</f>
        <v>21.055715038959516</v>
      </c>
      <c r="C40" s="14" t="e">
        <f>C11/C29*100</f>
        <v>#DIV/0!</v>
      </c>
      <c r="D40" s="14" t="e">
        <f>D11/D29*100</f>
        <v>#DIV/0!</v>
      </c>
      <c r="E40" s="14" t="e">
        <f>E11/E29*100</f>
        <v>#DIV/0!</v>
      </c>
      <c r="F40" s="14"/>
    </row>
    <row r="41" spans="1:6" x14ac:dyDescent="0.25">
      <c r="A41" t="s">
        <v>18</v>
      </c>
      <c r="B41" s="14">
        <f>B12/B29*100</f>
        <v>15.736129826000351</v>
      </c>
      <c r="C41" s="14" t="e">
        <f>C12/C29*100</f>
        <v>#DIV/0!</v>
      </c>
      <c r="D41" s="14" t="e">
        <f>D12/D29*100</f>
        <v>#DIV/0!</v>
      </c>
      <c r="E41" s="14" t="e">
        <f>E12/E29*100</f>
        <v>#DIV/0!</v>
      </c>
      <c r="F41" s="14"/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19</v>
      </c>
      <c r="B43" s="7"/>
      <c r="C43" s="7"/>
      <c r="D43" s="7"/>
      <c r="E43" s="7"/>
      <c r="F43" s="7"/>
    </row>
    <row r="44" spans="1:6" x14ac:dyDescent="0.25">
      <c r="A44" t="s">
        <v>20</v>
      </c>
      <c r="B44" s="14">
        <f>B12/B11*100</f>
        <v>74.735670562047858</v>
      </c>
      <c r="C44" s="14">
        <f>C12/C11*100</f>
        <v>87.240356083086056</v>
      </c>
      <c r="D44" s="14">
        <f>D12/D11*100</f>
        <v>79.377013963480124</v>
      </c>
      <c r="E44" s="14">
        <f>E12/E11*100</f>
        <v>48.973305954825463</v>
      </c>
      <c r="F44" s="14"/>
    </row>
    <row r="45" spans="1:6" x14ac:dyDescent="0.25">
      <c r="A45" t="s">
        <v>21</v>
      </c>
      <c r="B45" s="14">
        <f>B18/B17*100</f>
        <v>64.682065853944451</v>
      </c>
      <c r="C45" s="14">
        <f>C18/C17*100</f>
        <v>87.418397626112764</v>
      </c>
      <c r="D45" s="14">
        <f>D18/D17*100</f>
        <v>79.377013963480124</v>
      </c>
      <c r="E45" s="14">
        <f>E18/E17*100</f>
        <v>49.007529654757029</v>
      </c>
      <c r="F45" s="14"/>
    </row>
    <row r="46" spans="1:6" x14ac:dyDescent="0.25">
      <c r="A46" s="7" t="s">
        <v>22</v>
      </c>
      <c r="B46" s="14">
        <f>AVERAGE(B44:B45)</f>
        <v>69.708868207996147</v>
      </c>
      <c r="C46" s="14">
        <f>AVERAGE(C44:C45)</f>
        <v>87.329376854599417</v>
      </c>
      <c r="D46" s="14">
        <f>AVERAGE(D44:D45)</f>
        <v>79.377013963480124</v>
      </c>
      <c r="E46" s="14">
        <f>AVERAGE(E44:E45)</f>
        <v>48.99041780479125</v>
      </c>
      <c r="F46" s="14"/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23</v>
      </c>
      <c r="B48" s="7"/>
      <c r="C48" s="7"/>
      <c r="D48" s="7"/>
      <c r="E48" s="7"/>
      <c r="F48" s="7"/>
    </row>
    <row r="49" spans="1:6" x14ac:dyDescent="0.25">
      <c r="A49" s="7" t="s">
        <v>24</v>
      </c>
      <c r="B49" s="14">
        <f>(B12/B13)*100</f>
        <v>74.735670562047858</v>
      </c>
      <c r="C49" s="14">
        <f t="shared" ref="C49:E49" si="3">(C12/C13)*100</f>
        <v>87.240356083086056</v>
      </c>
      <c r="D49" s="14">
        <f t="shared" si="3"/>
        <v>79.377013963480124</v>
      </c>
      <c r="E49" s="14">
        <f t="shared" si="3"/>
        <v>48.973305954825463</v>
      </c>
      <c r="F49" s="14"/>
    </row>
    <row r="50" spans="1:6" x14ac:dyDescent="0.25">
      <c r="A50" s="7" t="s">
        <v>25</v>
      </c>
      <c r="B50" s="14">
        <f>B18/B19*100</f>
        <v>16.17051631449695</v>
      </c>
      <c r="C50" s="14">
        <f>C18/C19*100</f>
        <v>21.854599406528191</v>
      </c>
      <c r="D50" s="14">
        <f>D18/D19*100</f>
        <v>19.844253490870031</v>
      </c>
      <c r="E50" s="14">
        <f>E18/E19*100</f>
        <v>12.251882217659137</v>
      </c>
      <c r="F50" s="14"/>
    </row>
    <row r="51" spans="1:6" x14ac:dyDescent="0.25">
      <c r="A51" s="7" t="s">
        <v>26</v>
      </c>
      <c r="B51" s="14">
        <f>(B49+B50)/2</f>
        <v>45.453093438272404</v>
      </c>
      <c r="C51" s="14">
        <f>(C49+C50)/2</f>
        <v>54.547477744807125</v>
      </c>
      <c r="D51" s="14">
        <f>(D49+D50)/2</f>
        <v>49.610633727175077</v>
      </c>
      <c r="E51" s="14">
        <f>(E49+E50)/2</f>
        <v>30.6125940862423</v>
      </c>
      <c r="F51" s="14"/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7" t="s">
        <v>27</v>
      </c>
      <c r="B53" s="7"/>
      <c r="C53" s="7"/>
      <c r="D53" s="7"/>
      <c r="E53" s="7"/>
      <c r="F53" s="7"/>
    </row>
    <row r="54" spans="1:6" x14ac:dyDescent="0.25">
      <c r="A54" s="7" t="s">
        <v>28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 t="s">
        <v>29</v>
      </c>
      <c r="B56" s="7"/>
      <c r="C56" s="7"/>
      <c r="D56" s="7"/>
      <c r="E56" s="7"/>
      <c r="F56" s="7"/>
    </row>
    <row r="57" spans="1:6" x14ac:dyDescent="0.25">
      <c r="A57" s="7" t="s">
        <v>30</v>
      </c>
      <c r="B57" s="14">
        <f>((B12/B10)-1)*100</f>
        <v>65.495995070856438</v>
      </c>
      <c r="C57" s="14">
        <f>((C12/C10)-1)*100</f>
        <v>33.393829401088922</v>
      </c>
      <c r="D57" s="14">
        <f>((D12/D10)-1)*100</f>
        <v>64.222222222222229</v>
      </c>
      <c r="E57" s="14">
        <f>((E12/E10)-1)*100</f>
        <v>571.83098591549299</v>
      </c>
      <c r="F57" s="14"/>
    </row>
    <row r="58" spans="1:6" x14ac:dyDescent="0.25">
      <c r="A58" s="7" t="s">
        <v>31</v>
      </c>
      <c r="B58" s="14">
        <f>((B33/B32)-1)*100</f>
        <v>139.53465351059702</v>
      </c>
      <c r="C58" s="14">
        <f>((C33/C32)-1)*100</f>
        <v>43.478241138299836</v>
      </c>
      <c r="D58" s="14">
        <f>((D33/D32)-1)*100</f>
        <v>76.036877824596075</v>
      </c>
      <c r="E58" s="14">
        <f>((E33/E32)-1)*100</f>
        <v>1087.4698363125883</v>
      </c>
      <c r="F58" s="14"/>
    </row>
    <row r="59" spans="1:6" x14ac:dyDescent="0.25">
      <c r="A59" s="7" t="s">
        <v>32</v>
      </c>
      <c r="B59" s="14">
        <f>((B35/B34)-1)*100</f>
        <v>44.73743211008896</v>
      </c>
      <c r="C59" s="14">
        <f>((C35/C34)-1)*100</f>
        <v>7.5598787308887028</v>
      </c>
      <c r="D59" s="14">
        <f>((D35/D34)-1)*100</f>
        <v>7.1943099067229177</v>
      </c>
      <c r="E59" s="14">
        <f>((E35/E34)-1)*100</f>
        <v>76.751275425982769</v>
      </c>
      <c r="F59" s="14"/>
    </row>
    <row r="60" spans="1:6" x14ac:dyDescent="0.25">
      <c r="A60" s="7"/>
      <c r="B60" s="14"/>
      <c r="C60" s="14"/>
      <c r="D60" s="14"/>
      <c r="E60" s="14"/>
      <c r="F60" s="14"/>
    </row>
    <row r="61" spans="1:6" x14ac:dyDescent="0.25">
      <c r="A61" s="7" t="s">
        <v>33</v>
      </c>
      <c r="B61" s="7"/>
      <c r="C61" s="7"/>
      <c r="D61" s="7"/>
      <c r="E61" s="7"/>
      <c r="F61" s="7"/>
    </row>
    <row r="62" spans="1:6" x14ac:dyDescent="0.25">
      <c r="A62" s="7" t="s">
        <v>34</v>
      </c>
      <c r="B62" s="5">
        <f>B17/(B11*3)</f>
        <v>98045.766950473015</v>
      </c>
      <c r="C62" s="5">
        <f t="shared" ref="C62:E62" si="4">C17/(C11*3)</f>
        <v>72645</v>
      </c>
      <c r="D62" s="5">
        <f t="shared" si="4"/>
        <v>29058</v>
      </c>
      <c r="E62" s="5">
        <f t="shared" si="4"/>
        <v>208333.33</v>
      </c>
      <c r="F62" s="5"/>
    </row>
    <row r="63" spans="1:6" x14ac:dyDescent="0.25">
      <c r="A63" s="7" t="s">
        <v>35</v>
      </c>
      <c r="B63" s="5">
        <f>$B$18/(B12*3)</f>
        <v>84856.437453462393</v>
      </c>
      <c r="C63" s="5">
        <f>C18/(C12*3)</f>
        <v>72793.255102040814</v>
      </c>
      <c r="D63" s="5">
        <f t="shared" ref="D63:E63" si="5">D18/(D12*3)</f>
        <v>29058</v>
      </c>
      <c r="E63" s="5">
        <f t="shared" si="5"/>
        <v>208478.91823899371</v>
      </c>
      <c r="F63" s="5"/>
    </row>
    <row r="64" spans="1:6" x14ac:dyDescent="0.25">
      <c r="A64" s="7" t="s">
        <v>36</v>
      </c>
      <c r="B64" s="14">
        <f>(B62/B63)*B46</f>
        <v>80.543794340302611</v>
      </c>
      <c r="C64" s="14">
        <f>(C62/C63)*C46</f>
        <v>87.151516616606344</v>
      </c>
      <c r="D64" s="14">
        <f>(D62/D63)*D46</f>
        <v>79.377013963480124</v>
      </c>
      <c r="E64" s="14">
        <f>E62/E63*E46</f>
        <v>48.956206054672755</v>
      </c>
      <c r="F64" s="14"/>
    </row>
    <row r="65" spans="1:7" x14ac:dyDescent="0.25">
      <c r="A65" s="7"/>
      <c r="B65" s="14"/>
      <c r="C65" s="14"/>
      <c r="D65" s="14"/>
      <c r="E65" s="14"/>
      <c r="F65" s="14"/>
    </row>
    <row r="66" spans="1:7" x14ac:dyDescent="0.25">
      <c r="A66" s="7" t="s">
        <v>37</v>
      </c>
      <c r="B66" s="14"/>
      <c r="C66" s="14"/>
      <c r="D66" s="14"/>
      <c r="E66" s="14"/>
      <c r="F66" s="14"/>
    </row>
    <row r="67" spans="1:7" x14ac:dyDescent="0.25">
      <c r="A67" s="7" t="s">
        <v>38</v>
      </c>
      <c r="B67" s="14">
        <f>(B24/B23)*100</f>
        <v>66.666666587206208</v>
      </c>
      <c r="C67" s="14"/>
      <c r="D67" s="14"/>
      <c r="E67" s="14"/>
      <c r="F67" s="14"/>
      <c r="G67" s="11"/>
    </row>
    <row r="68" spans="1:7" x14ac:dyDescent="0.25">
      <c r="A68" s="7" t="s">
        <v>39</v>
      </c>
      <c r="B68" s="14">
        <f>(B18/B24)*100</f>
        <v>97.023098896559176</v>
      </c>
      <c r="C68" s="14"/>
      <c r="D68" s="14"/>
      <c r="E68" s="14"/>
      <c r="F68" s="14"/>
      <c r="G68" s="11"/>
    </row>
    <row r="69" spans="1:7" ht="15.75" thickBot="1" x14ac:dyDescent="0.3">
      <c r="A69" s="15"/>
      <c r="B69" s="15"/>
      <c r="C69" s="15"/>
      <c r="D69" s="15"/>
      <c r="E69" s="15"/>
      <c r="F69" s="15"/>
    </row>
    <row r="70" spans="1:7" ht="15.75" thickTop="1" x14ac:dyDescent="0.25"/>
    <row r="71" spans="1:7" x14ac:dyDescent="0.25">
      <c r="A71" t="s">
        <v>46</v>
      </c>
    </row>
    <row r="72" spans="1:7" x14ac:dyDescent="0.25">
      <c r="A72" t="s">
        <v>127</v>
      </c>
    </row>
    <row r="73" spans="1:7" x14ac:dyDescent="0.25">
      <c r="A73" t="s">
        <v>82</v>
      </c>
      <c r="B73" s="16"/>
      <c r="C73" s="16"/>
      <c r="D73" s="16"/>
    </row>
    <row r="74" spans="1:7" x14ac:dyDescent="0.25">
      <c r="A74" t="s">
        <v>83</v>
      </c>
    </row>
    <row r="75" spans="1:7" x14ac:dyDescent="0.25">
      <c r="A75" t="s">
        <v>84</v>
      </c>
    </row>
    <row r="77" spans="1:7" x14ac:dyDescent="0.25">
      <c r="A77" t="s">
        <v>67</v>
      </c>
    </row>
    <row r="78" spans="1:7" x14ac:dyDescent="0.25">
      <c r="A78" t="s">
        <v>68</v>
      </c>
    </row>
    <row r="79" spans="1:7" x14ac:dyDescent="0.25">
      <c r="A79" t="s">
        <v>69</v>
      </c>
    </row>
    <row r="80" spans="1:7" x14ac:dyDescent="0.25">
      <c r="A80" t="s">
        <v>70</v>
      </c>
    </row>
    <row r="81" spans="1:1" x14ac:dyDescent="0.25">
      <c r="A81" t="s">
        <v>130</v>
      </c>
    </row>
    <row r="83" spans="1:1" x14ac:dyDescent="0.25">
      <c r="A83" t="s">
        <v>131</v>
      </c>
    </row>
    <row r="188" spans="4:8" x14ac:dyDescent="0.25">
      <c r="D188" s="25"/>
      <c r="E188" s="25"/>
      <c r="F188" s="25"/>
      <c r="G188" s="25"/>
      <c r="H188" s="25"/>
    </row>
    <row r="189" spans="4:8" x14ac:dyDescent="0.25">
      <c r="D189" s="25"/>
      <c r="E189" s="25"/>
      <c r="F189" s="25"/>
      <c r="G189" s="25"/>
      <c r="H189" s="25"/>
    </row>
    <row r="190" spans="4:8" x14ac:dyDescent="0.25">
      <c r="D190" s="25"/>
      <c r="E190" s="25"/>
      <c r="F190" s="25"/>
      <c r="G190" s="25"/>
      <c r="H190" s="25"/>
    </row>
  </sheetData>
  <mergeCells count="4">
    <mergeCell ref="A2:E2"/>
    <mergeCell ref="A4:A5"/>
    <mergeCell ref="B4:B5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B62" sqref="B62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6.85546875" bestFit="1" customWidth="1"/>
    <col min="4" max="4" width="15.140625" bestFit="1" customWidth="1"/>
    <col min="5" max="5" width="12.7109375" bestFit="1" customWidth="1"/>
    <col min="6" max="6" width="14.5703125" customWidth="1"/>
  </cols>
  <sheetData>
    <row r="2" spans="1:6" ht="15.75" x14ac:dyDescent="0.25">
      <c r="A2" s="26" t="s">
        <v>85</v>
      </c>
      <c r="B2" s="26"/>
      <c r="C2" s="26"/>
      <c r="D2" s="26"/>
      <c r="E2" s="26"/>
    </row>
    <row r="4" spans="1:6" x14ac:dyDescent="0.25">
      <c r="A4" s="27" t="s">
        <v>0</v>
      </c>
      <c r="B4" s="29" t="s">
        <v>40</v>
      </c>
      <c r="C4" s="31" t="s">
        <v>2</v>
      </c>
      <c r="D4" s="31"/>
      <c r="E4" s="31"/>
      <c r="F4" s="31"/>
    </row>
    <row r="5" spans="1:6" ht="15.75" thickBot="1" x14ac:dyDescent="0.3">
      <c r="A5" s="28"/>
      <c r="B5" s="30" t="s">
        <v>41</v>
      </c>
      <c r="C5" s="1" t="s">
        <v>128</v>
      </c>
      <c r="D5" s="1" t="s">
        <v>129</v>
      </c>
      <c r="E5" s="1" t="s">
        <v>3</v>
      </c>
      <c r="F5" s="1" t="s">
        <v>4</v>
      </c>
    </row>
    <row r="6" spans="1:6" ht="15.75" thickTop="1" x14ac:dyDescent="0.25"/>
    <row r="7" spans="1:6" x14ac:dyDescent="0.25">
      <c r="A7" s="2" t="s">
        <v>5</v>
      </c>
    </row>
    <row r="9" spans="1:6" x14ac:dyDescent="0.25">
      <c r="A9" t="s">
        <v>71</v>
      </c>
      <c r="C9" s="3"/>
    </row>
    <row r="10" spans="1:6" x14ac:dyDescent="0.25">
      <c r="A10" s="4" t="s">
        <v>42</v>
      </c>
      <c r="B10" s="5">
        <f>SUM(C10:E10)</f>
        <v>2899.3333333333335</v>
      </c>
      <c r="C10" s="5">
        <v>1634</v>
      </c>
      <c r="D10" s="5">
        <v>595</v>
      </c>
      <c r="E10" s="5">
        <v>670.33333333333337</v>
      </c>
      <c r="F10" s="5"/>
    </row>
    <row r="11" spans="1:6" x14ac:dyDescent="0.25">
      <c r="A11" s="6" t="s">
        <v>86</v>
      </c>
      <c r="B11" s="5">
        <f>SUM(C11:F11)</f>
        <v>3882</v>
      </c>
      <c r="C11" s="5">
        <v>1739</v>
      </c>
      <c r="D11" s="5">
        <v>1164</v>
      </c>
      <c r="E11" s="5">
        <v>974</v>
      </c>
      <c r="F11" s="5">
        <v>5</v>
      </c>
    </row>
    <row r="12" spans="1:6" x14ac:dyDescent="0.25">
      <c r="A12" s="6" t="s">
        <v>87</v>
      </c>
      <c r="B12" s="5">
        <f t="shared" ref="B12" si="0">SUM(C12:E12)</f>
        <v>3740</v>
      </c>
      <c r="C12" s="5">
        <v>1664</v>
      </c>
      <c r="D12" s="5">
        <v>942</v>
      </c>
      <c r="E12" s="5">
        <v>1134</v>
      </c>
      <c r="F12" s="5"/>
    </row>
    <row r="13" spans="1:6" x14ac:dyDescent="0.25">
      <c r="A13" s="6" t="s">
        <v>77</v>
      </c>
      <c r="B13" s="5">
        <f>SUM(C13:F13)</f>
        <v>3882</v>
      </c>
      <c r="C13" s="5">
        <v>1739</v>
      </c>
      <c r="D13" s="5">
        <v>1164</v>
      </c>
      <c r="E13" s="5">
        <v>974</v>
      </c>
      <c r="F13" s="5">
        <v>5</v>
      </c>
    </row>
    <row r="14" spans="1:6" x14ac:dyDescent="0.25">
      <c r="B14" s="7"/>
      <c r="C14" s="7"/>
      <c r="D14" s="7"/>
      <c r="E14" s="7"/>
      <c r="F14" s="7"/>
    </row>
    <row r="15" spans="1:6" x14ac:dyDescent="0.25">
      <c r="A15" s="8" t="s">
        <v>7</v>
      </c>
      <c r="B15" s="7"/>
      <c r="C15" s="7"/>
      <c r="D15" s="7"/>
      <c r="E15" s="7"/>
      <c r="F15" s="7"/>
    </row>
    <row r="16" spans="1:6" x14ac:dyDescent="0.25">
      <c r="A16" s="4" t="s">
        <v>42</v>
      </c>
      <c r="B16" s="5">
        <f>SUM(C16:E16)</f>
        <v>589460494.57999992</v>
      </c>
      <c r="C16" s="5">
        <v>316754676.94</v>
      </c>
      <c r="D16" s="5">
        <v>46021394.520000003</v>
      </c>
      <c r="E16" s="5">
        <v>226684423.12</v>
      </c>
      <c r="F16" s="5"/>
    </row>
    <row r="17" spans="1:7" x14ac:dyDescent="0.25">
      <c r="A17" s="6" t="s">
        <v>86</v>
      </c>
      <c r="B17" s="5">
        <f>SUM(C17:E17)</f>
        <v>1087239376.26</v>
      </c>
      <c r="C17" s="3">
        <v>377018850</v>
      </c>
      <c r="D17" s="3">
        <v>101470536</v>
      </c>
      <c r="E17" s="5">
        <v>608749990.25999999</v>
      </c>
      <c r="F17" s="5">
        <v>249999999.99000001</v>
      </c>
    </row>
    <row r="18" spans="1:7" x14ac:dyDescent="0.25">
      <c r="A18" s="6" t="s">
        <v>87</v>
      </c>
      <c r="B18" s="5">
        <f>SUM(C18:E18)</f>
        <v>1166308258</v>
      </c>
      <c r="C18" s="5">
        <v>360319200</v>
      </c>
      <c r="D18" s="5">
        <v>82030734</v>
      </c>
      <c r="E18" s="5">
        <v>723958324</v>
      </c>
      <c r="F18" s="5"/>
    </row>
    <row r="19" spans="1:7" x14ac:dyDescent="0.25">
      <c r="A19" s="6" t="s">
        <v>77</v>
      </c>
      <c r="B19" s="5">
        <f>SUM(C19:E19)</f>
        <v>4318831520</v>
      </c>
      <c r="C19" s="9">
        <v>1498277025</v>
      </c>
      <c r="D19" s="5">
        <v>385554495</v>
      </c>
      <c r="E19" s="5">
        <v>2435000000</v>
      </c>
      <c r="F19" s="5">
        <v>1000000000</v>
      </c>
    </row>
    <row r="20" spans="1:7" x14ac:dyDescent="0.25">
      <c r="A20" s="6" t="s">
        <v>88</v>
      </c>
      <c r="B20" s="5">
        <f>SUM(C20:E20)</f>
        <v>1166308258</v>
      </c>
      <c r="C20" s="5">
        <f>C18</f>
        <v>360319200</v>
      </c>
      <c r="D20" s="5">
        <f t="shared" ref="D20:E20" si="1">D18</f>
        <v>82030734</v>
      </c>
      <c r="E20" s="5">
        <f t="shared" si="1"/>
        <v>723958324</v>
      </c>
      <c r="F20" s="5"/>
    </row>
    <row r="21" spans="1:7" x14ac:dyDescent="0.25">
      <c r="B21" s="5"/>
      <c r="C21" s="9"/>
      <c r="D21" s="5"/>
      <c r="E21" s="5"/>
      <c r="F21" s="5"/>
    </row>
    <row r="22" spans="1:7" x14ac:dyDescent="0.25">
      <c r="A22" s="10" t="s">
        <v>8</v>
      </c>
      <c r="B22" s="5"/>
      <c r="C22" s="5"/>
      <c r="D22" s="5"/>
      <c r="E22" s="5"/>
      <c r="F22" s="5"/>
    </row>
    <row r="23" spans="1:7" x14ac:dyDescent="0.25">
      <c r="A23" s="4" t="s">
        <v>86</v>
      </c>
      <c r="B23" s="5">
        <f>B17</f>
        <v>1087239376.26</v>
      </c>
      <c r="C23" s="5"/>
      <c r="D23" s="5"/>
      <c r="E23" s="5"/>
      <c r="F23" s="5"/>
      <c r="G23" s="11"/>
    </row>
    <row r="24" spans="1:7" x14ac:dyDescent="0.25">
      <c r="A24" s="4" t="s">
        <v>87</v>
      </c>
      <c r="B24" s="5">
        <v>1378462658.26</v>
      </c>
      <c r="C24" s="5"/>
      <c r="D24" s="5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9</v>
      </c>
      <c r="B26" s="7"/>
      <c r="C26" s="7"/>
      <c r="D26" s="7"/>
      <c r="E26" s="7"/>
      <c r="F26" s="7"/>
    </row>
    <row r="27" spans="1:7" x14ac:dyDescent="0.25">
      <c r="A27" s="4" t="s">
        <v>43</v>
      </c>
      <c r="B27" s="17">
        <v>1.4619442416999999</v>
      </c>
      <c r="C27" s="17">
        <v>1.4619442416999999</v>
      </c>
      <c r="D27" s="17">
        <v>1.4619442416999999</v>
      </c>
      <c r="E27" s="17">
        <v>1.4619442416999999</v>
      </c>
      <c r="F27" s="12"/>
    </row>
    <row r="28" spans="1:7" x14ac:dyDescent="0.25">
      <c r="A28" s="4" t="s">
        <v>89</v>
      </c>
      <c r="B28" s="17">
        <v>1.5319088546000001</v>
      </c>
      <c r="C28" s="17">
        <v>1.5319088546000001</v>
      </c>
      <c r="D28" s="17">
        <v>1.5319088546000001</v>
      </c>
      <c r="E28" s="17">
        <v>1.5319088546000001</v>
      </c>
      <c r="F28" s="12"/>
    </row>
    <row r="29" spans="1:7" x14ac:dyDescent="0.25">
      <c r="A29" s="4" t="s">
        <v>11</v>
      </c>
      <c r="B29" s="5">
        <v>17069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12</v>
      </c>
      <c r="B31" s="7"/>
      <c r="C31" s="7"/>
      <c r="D31" s="7"/>
      <c r="E31" s="7"/>
      <c r="F31" s="7"/>
    </row>
    <row r="32" spans="1:7" x14ac:dyDescent="0.25">
      <c r="A32" s="7" t="s">
        <v>44</v>
      </c>
      <c r="B32" s="5">
        <f>B16/B27</f>
        <v>403203130.30171019</v>
      </c>
      <c r="C32" s="5">
        <f>C16/C27</f>
        <v>216666729.0755676</v>
      </c>
      <c r="D32" s="5">
        <f>D16/D27</f>
        <v>31479582.604658518</v>
      </c>
      <c r="E32" s="5">
        <f>E16/E27</f>
        <v>155056818.6214841</v>
      </c>
      <c r="F32" s="5"/>
    </row>
    <row r="33" spans="1:6" x14ac:dyDescent="0.25">
      <c r="A33" s="7" t="s">
        <v>90</v>
      </c>
      <c r="B33" s="5">
        <f>B18/B28</f>
        <v>761343114.17929435</v>
      </c>
      <c r="C33" s="5">
        <f>C18/C28</f>
        <v>235209293.89371777</v>
      </c>
      <c r="D33" s="5">
        <f>D18/D28</f>
        <v>53548051.343706876</v>
      </c>
      <c r="E33" s="5">
        <f>E18/E28</f>
        <v>472585768.94186974</v>
      </c>
      <c r="F33" s="5"/>
    </row>
    <row r="34" spans="1:6" x14ac:dyDescent="0.25">
      <c r="A34" s="7" t="s">
        <v>45</v>
      </c>
      <c r="B34" s="5">
        <f>B32/(B10*3)</f>
        <v>46355.843906841823</v>
      </c>
      <c r="C34" s="5">
        <f t="shared" ref="C34:E34" si="2">C32/(C10*3)</f>
        <v>44199.659134142719</v>
      </c>
      <c r="D34" s="5">
        <f t="shared" si="2"/>
        <v>17635.620506811494</v>
      </c>
      <c r="E34" s="5">
        <f t="shared" si="2"/>
        <v>77104.335465680808</v>
      </c>
      <c r="F34" s="5"/>
    </row>
    <row r="35" spans="1:6" x14ac:dyDescent="0.25">
      <c r="A35" s="7" t="s">
        <v>91</v>
      </c>
      <c r="B35" s="5">
        <f>B33/(B12*3)</f>
        <v>67855.892529348872</v>
      </c>
      <c r="C35" s="5">
        <f t="shared" ref="C35:E35" si="3">C33/(C12*3)</f>
        <v>47117.246372940259</v>
      </c>
      <c r="D35" s="5">
        <f t="shared" si="3"/>
        <v>18948.35504023598</v>
      </c>
      <c r="E35" s="5">
        <f t="shared" si="3"/>
        <v>138914.10021806869</v>
      </c>
      <c r="F35" s="5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15</v>
      </c>
      <c r="B37" s="7"/>
      <c r="C37" s="7"/>
      <c r="D37" s="7"/>
      <c r="E37" s="7"/>
      <c r="F37" s="7"/>
    </row>
    <row r="38" spans="1:6" x14ac:dyDescent="0.25">
      <c r="B38" s="7"/>
      <c r="C38" s="7"/>
      <c r="D38" s="7"/>
      <c r="E38" s="7"/>
      <c r="F38" s="7"/>
    </row>
    <row r="39" spans="1:6" x14ac:dyDescent="0.25">
      <c r="A39" t="s">
        <v>16</v>
      </c>
      <c r="B39" s="7"/>
      <c r="C39" s="7"/>
      <c r="D39" s="7"/>
      <c r="E39" s="7"/>
      <c r="F39" s="7"/>
    </row>
    <row r="40" spans="1:6" x14ac:dyDescent="0.25">
      <c r="A40" t="s">
        <v>17</v>
      </c>
      <c r="B40" s="14">
        <f>B11/B29*100</f>
        <v>22.742984357607359</v>
      </c>
      <c r="C40" s="14" t="e">
        <f>C11/C29*100</f>
        <v>#DIV/0!</v>
      </c>
      <c r="D40" s="14" t="e">
        <f>D11/D29*100</f>
        <v>#DIV/0!</v>
      </c>
      <c r="E40" s="14" t="e">
        <f>E11/E29*100</f>
        <v>#DIV/0!</v>
      </c>
      <c r="F40" s="14"/>
    </row>
    <row r="41" spans="1:6" x14ac:dyDescent="0.25">
      <c r="A41" t="s">
        <v>18</v>
      </c>
      <c r="B41" s="14">
        <f>B12/B29*100</f>
        <v>21.911066846329604</v>
      </c>
      <c r="C41" s="14" t="e">
        <f>C12/C29*100</f>
        <v>#DIV/0!</v>
      </c>
      <c r="D41" s="14" t="e">
        <f>D12/D29*100</f>
        <v>#DIV/0!</v>
      </c>
      <c r="E41" s="14" t="e">
        <f>E12/E29*100</f>
        <v>#DIV/0!</v>
      </c>
      <c r="F41" s="14"/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19</v>
      </c>
      <c r="B43" s="7"/>
      <c r="C43" s="7"/>
      <c r="D43" s="7"/>
      <c r="E43" s="7"/>
      <c r="F43" s="7"/>
    </row>
    <row r="44" spans="1:6" x14ac:dyDescent="0.25">
      <c r="A44" t="s">
        <v>20</v>
      </c>
      <c r="B44" s="14">
        <f>B12/B11*100</f>
        <v>96.342091705306544</v>
      </c>
      <c r="C44" s="14">
        <f>C12/C11*100</f>
        <v>95.687176538240365</v>
      </c>
      <c r="D44" s="14">
        <f>D12/D11*100</f>
        <v>80.927835051546396</v>
      </c>
      <c r="E44" s="14">
        <f>E12/E11*100</f>
        <v>116.42710472279261</v>
      </c>
      <c r="F44" s="14"/>
    </row>
    <row r="45" spans="1:6" x14ac:dyDescent="0.25">
      <c r="A45" t="s">
        <v>21</v>
      </c>
      <c r="B45" s="14">
        <f>B18/B17*100</f>
        <v>107.27244463974341</v>
      </c>
      <c r="C45" s="14">
        <f>C18/C17*100</f>
        <v>95.570606085080357</v>
      </c>
      <c r="D45" s="14">
        <f>D18/D17*100</f>
        <v>80.841924398625437</v>
      </c>
      <c r="E45" s="14">
        <f>E18/E17*100</f>
        <v>118.92539393566051</v>
      </c>
      <c r="F45" s="14"/>
    </row>
    <row r="46" spans="1:6" x14ac:dyDescent="0.25">
      <c r="A46" s="7" t="s">
        <v>22</v>
      </c>
      <c r="B46" s="14">
        <f>AVERAGE(B44:B45)</f>
        <v>101.80726817252497</v>
      </c>
      <c r="C46" s="14">
        <f>AVERAGE(C44:C45)</f>
        <v>95.628891311660368</v>
      </c>
      <c r="D46" s="14">
        <f>AVERAGE(D44:D45)</f>
        <v>80.884879725085909</v>
      </c>
      <c r="E46" s="14">
        <f>AVERAGE(E44:E45)</f>
        <v>117.67624932922655</v>
      </c>
      <c r="F46" s="14"/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23</v>
      </c>
      <c r="B48" s="7"/>
      <c r="C48" s="7"/>
      <c r="D48" s="7"/>
      <c r="E48" s="7"/>
      <c r="F48" s="7"/>
    </row>
    <row r="49" spans="1:6" x14ac:dyDescent="0.25">
      <c r="A49" s="7" t="s">
        <v>24</v>
      </c>
      <c r="B49" s="14">
        <f>(B12/B13)*100</f>
        <v>96.342091705306544</v>
      </c>
      <c r="C49" s="14">
        <f t="shared" ref="C49:E49" si="4">(C12/C13)*100</f>
        <v>95.687176538240365</v>
      </c>
      <c r="D49" s="14">
        <f t="shared" si="4"/>
        <v>80.927835051546396</v>
      </c>
      <c r="E49" s="14">
        <f t="shared" si="4"/>
        <v>116.42710472279261</v>
      </c>
      <c r="F49" s="14"/>
    </row>
    <row r="50" spans="1:6" x14ac:dyDescent="0.25">
      <c r="A50" s="7" t="s">
        <v>25</v>
      </c>
      <c r="B50" s="14">
        <f>B18/B19*100</f>
        <v>27.005180743887873</v>
      </c>
      <c r="C50" s="14">
        <f>C18/C19*100</f>
        <v>24.048903773319221</v>
      </c>
      <c r="D50" s="14">
        <f>D18/D19*100</f>
        <v>21.276041406286808</v>
      </c>
      <c r="E50" s="14">
        <f>E18/E19*100</f>
        <v>29.731348008213555</v>
      </c>
      <c r="F50" s="14"/>
    </row>
    <row r="51" spans="1:6" x14ac:dyDescent="0.25">
      <c r="A51" s="7" t="s">
        <v>26</v>
      </c>
      <c r="B51" s="14">
        <f>(B49+B50)/2</f>
        <v>61.67363622459721</v>
      </c>
      <c r="C51" s="14">
        <f>(C49+C50)/2</f>
        <v>59.868040155779795</v>
      </c>
      <c r="D51" s="14">
        <f>(D49+D50)/2</f>
        <v>51.101938228916602</v>
      </c>
      <c r="E51" s="14">
        <f>(E49+E50)/2</f>
        <v>73.079226365503075</v>
      </c>
      <c r="F51" s="14"/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7" t="s">
        <v>27</v>
      </c>
      <c r="B53" s="7"/>
      <c r="C53" s="7"/>
      <c r="D53" s="7"/>
      <c r="E53" s="7"/>
      <c r="F53" s="7"/>
    </row>
    <row r="54" spans="1:6" x14ac:dyDescent="0.25">
      <c r="A54" s="7" t="s">
        <v>28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 t="s">
        <v>29</v>
      </c>
      <c r="B56" s="7"/>
      <c r="C56" s="7"/>
      <c r="D56" s="7"/>
      <c r="E56" s="7"/>
      <c r="F56" s="7"/>
    </row>
    <row r="57" spans="1:6" x14ac:dyDescent="0.25">
      <c r="A57" s="7" t="s">
        <v>30</v>
      </c>
      <c r="B57" s="14">
        <f>((B12/B10)-1)*100</f>
        <v>28.995171303747981</v>
      </c>
      <c r="C57" s="14">
        <f>((C12/C10)-1)*100</f>
        <v>1.8359853121175052</v>
      </c>
      <c r="D57" s="14">
        <f>((D12/D10)-1)*100</f>
        <v>58.319327731092429</v>
      </c>
      <c r="E57" s="14">
        <f>((E12/E10)-1)*100</f>
        <v>69.169567379413223</v>
      </c>
      <c r="F57" s="14"/>
    </row>
    <row r="58" spans="1:6" x14ac:dyDescent="0.25">
      <c r="A58" s="7" t="s">
        <v>31</v>
      </c>
      <c r="B58" s="14">
        <f>((B33/B32)-1)*100</f>
        <v>88.823711167518454</v>
      </c>
      <c r="C58" s="14">
        <f>((C33/C32)-1)*100</f>
        <v>8.5581043740605942</v>
      </c>
      <c r="D58" s="14">
        <f>((D33/D32)-1)*100</f>
        <v>70.104070362681824</v>
      </c>
      <c r="E58" s="14">
        <f>((E33/E32)-1)*100</f>
        <v>204.78231988979428</v>
      </c>
      <c r="F58" s="14"/>
    </row>
    <row r="59" spans="1:6" x14ac:dyDescent="0.25">
      <c r="A59" s="7" t="s">
        <v>32</v>
      </c>
      <c r="B59" s="14">
        <f>((B35/B34)-1)*100</f>
        <v>46.380449174249172</v>
      </c>
      <c r="C59" s="14">
        <f>((C35/C34)-1)*100</f>
        <v>6.6009270115474861</v>
      </c>
      <c r="D59" s="14">
        <f>((D35/D34)-1)*100</f>
        <v>7.4436537853457496</v>
      </c>
      <c r="E59" s="14">
        <f>((E35/E34)-1)*100</f>
        <v>80.163799323449794</v>
      </c>
      <c r="F59" s="14"/>
    </row>
    <row r="60" spans="1:6" x14ac:dyDescent="0.25">
      <c r="A60" s="7"/>
      <c r="B60" s="14"/>
      <c r="C60" s="14"/>
      <c r="D60" s="14"/>
      <c r="E60" s="14"/>
      <c r="F60" s="14"/>
    </row>
    <row r="61" spans="1:6" x14ac:dyDescent="0.25">
      <c r="A61" s="7" t="s">
        <v>33</v>
      </c>
      <c r="B61" s="7"/>
      <c r="C61" s="7"/>
      <c r="D61" s="7"/>
      <c r="E61" s="7"/>
      <c r="F61" s="7"/>
    </row>
    <row r="62" spans="1:6" x14ac:dyDescent="0.25">
      <c r="A62" s="7" t="s">
        <v>34</v>
      </c>
      <c r="B62" s="5">
        <f>B17/(B11*3)</f>
        <v>93357.322364760432</v>
      </c>
      <c r="C62" s="5">
        <f t="shared" ref="C62:E63" si="5">C17/(C11*3)</f>
        <v>72267.366302472685</v>
      </c>
      <c r="D62" s="5">
        <f t="shared" si="5"/>
        <v>29058</v>
      </c>
      <c r="E62" s="5">
        <f t="shared" si="5"/>
        <v>208333.33</v>
      </c>
      <c r="F62" s="5"/>
    </row>
    <row r="63" spans="1:6" x14ac:dyDescent="0.25">
      <c r="A63" s="7" t="s">
        <v>35</v>
      </c>
      <c r="B63" s="5">
        <f>$B$18/(B12*3)</f>
        <v>103949.04260249554</v>
      </c>
      <c r="C63" s="5">
        <f>C18/(C12*3)</f>
        <v>72179.326923076922</v>
      </c>
      <c r="D63" s="5">
        <f t="shared" si="5"/>
        <v>29027.152866242039</v>
      </c>
      <c r="E63" s="5">
        <f t="shared" si="5"/>
        <v>212803.74015285127</v>
      </c>
      <c r="F63" s="5"/>
    </row>
    <row r="64" spans="1:6" x14ac:dyDescent="0.25">
      <c r="A64" s="7" t="s">
        <v>36</v>
      </c>
      <c r="B64" s="14">
        <f>(B62/B63)*B46</f>
        <v>91.433780590008553</v>
      </c>
      <c r="C64" s="14">
        <f>(C62/C63)*C46</f>
        <v>95.745532857131636</v>
      </c>
      <c r="D64" s="14">
        <f>(D62/D63)*D46</f>
        <v>80.970836026600338</v>
      </c>
      <c r="E64" s="14">
        <f>E62/E63*E46</f>
        <v>115.20420114354627</v>
      </c>
      <c r="F64" s="14"/>
    </row>
    <row r="65" spans="1:7" x14ac:dyDescent="0.25">
      <c r="A65" s="7"/>
      <c r="B65" s="14"/>
      <c r="C65" s="14"/>
      <c r="D65" s="14"/>
      <c r="E65" s="14"/>
      <c r="F65" s="14"/>
    </row>
    <row r="66" spans="1:7" x14ac:dyDescent="0.25">
      <c r="A66" s="7" t="s">
        <v>37</v>
      </c>
      <c r="B66" s="14"/>
      <c r="C66" s="14"/>
      <c r="D66" s="14"/>
      <c r="E66" s="14"/>
      <c r="F66" s="14"/>
    </row>
    <row r="67" spans="1:7" x14ac:dyDescent="0.25">
      <c r="A67" s="7" t="s">
        <v>38</v>
      </c>
      <c r="B67" s="14">
        <f>(B24/B23)*100</f>
        <v>126.78557163757078</v>
      </c>
      <c r="C67" s="14"/>
      <c r="D67" s="14"/>
      <c r="E67" s="14"/>
      <c r="F67" s="14"/>
      <c r="G67" s="11"/>
    </row>
    <row r="68" spans="1:7" x14ac:dyDescent="0.25">
      <c r="A68" s="7" t="s">
        <v>39</v>
      </c>
      <c r="B68" s="14">
        <f>(B18/B24)*100</f>
        <v>84.609347305222087</v>
      </c>
      <c r="C68" s="14"/>
      <c r="D68" s="14"/>
      <c r="E68" s="14"/>
      <c r="F68" s="14"/>
      <c r="G68" s="11"/>
    </row>
    <row r="69" spans="1:7" ht="15.75" thickBot="1" x14ac:dyDescent="0.3">
      <c r="A69" s="15"/>
      <c r="B69" s="15"/>
      <c r="C69" s="15"/>
      <c r="D69" s="15"/>
      <c r="E69" s="15"/>
      <c r="F69" s="15"/>
    </row>
    <row r="70" spans="1:7" ht="15.75" thickTop="1" x14ac:dyDescent="0.25"/>
    <row r="71" spans="1:7" x14ac:dyDescent="0.25">
      <c r="A71" t="s">
        <v>46</v>
      </c>
    </row>
    <row r="72" spans="1:7" x14ac:dyDescent="0.25">
      <c r="A72" t="s">
        <v>127</v>
      </c>
    </row>
    <row r="73" spans="1:7" x14ac:dyDescent="0.25">
      <c r="A73" t="s">
        <v>82</v>
      </c>
      <c r="B73" s="16"/>
      <c r="C73" s="16"/>
      <c r="D73" s="16"/>
    </row>
    <row r="74" spans="1:7" x14ac:dyDescent="0.25">
      <c r="A74" t="s">
        <v>83</v>
      </c>
    </row>
    <row r="75" spans="1:7" x14ac:dyDescent="0.25">
      <c r="A75" t="s">
        <v>84</v>
      </c>
    </row>
    <row r="77" spans="1:7" x14ac:dyDescent="0.25">
      <c r="A77" t="s">
        <v>67</v>
      </c>
    </row>
    <row r="78" spans="1:7" x14ac:dyDescent="0.25">
      <c r="A78" t="s">
        <v>68</v>
      </c>
    </row>
    <row r="79" spans="1:7" x14ac:dyDescent="0.25">
      <c r="A79" t="s">
        <v>69</v>
      </c>
    </row>
    <row r="80" spans="1:7" x14ac:dyDescent="0.25">
      <c r="A80" t="s">
        <v>70</v>
      </c>
    </row>
    <row r="81" spans="1:1" x14ac:dyDescent="0.25">
      <c r="A81" t="s">
        <v>130</v>
      </c>
    </row>
    <row r="83" spans="1:1" x14ac:dyDescent="0.25">
      <c r="A83" t="s">
        <v>131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60" activePane="bottomRight" state="frozen"/>
      <selection pane="topRight" activeCell="B1" sqref="B1"/>
      <selection pane="bottomLeft" activeCell="A6" sqref="A6"/>
      <selection pane="bottomRight" activeCell="C12" sqref="C12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6" t="s">
        <v>92</v>
      </c>
      <c r="B2" s="26"/>
      <c r="C2" s="26"/>
      <c r="D2" s="26"/>
      <c r="E2" s="26"/>
    </row>
    <row r="4" spans="1:7" ht="15" customHeight="1" x14ac:dyDescent="0.25">
      <c r="A4" s="27" t="s">
        <v>0</v>
      </c>
      <c r="B4" s="18" t="s">
        <v>40</v>
      </c>
      <c r="C4" s="31" t="s">
        <v>2</v>
      </c>
      <c r="D4" s="31"/>
      <c r="E4" s="31"/>
      <c r="F4" s="31"/>
    </row>
    <row r="5" spans="1:7" ht="15.75" thickBot="1" x14ac:dyDescent="0.3">
      <c r="A5" s="28"/>
      <c r="B5" s="1" t="s">
        <v>41</v>
      </c>
      <c r="C5" s="1" t="s">
        <v>128</v>
      </c>
      <c r="D5" s="1" t="s">
        <v>129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71</v>
      </c>
    </row>
    <row r="10" spans="1:7" x14ac:dyDescent="0.25">
      <c r="A10" s="4" t="s">
        <v>47</v>
      </c>
      <c r="B10" s="5">
        <f>SUM(C10:F10)</f>
        <v>2695.6666666666665</v>
      </c>
      <c r="C10" s="5">
        <v>1519</v>
      </c>
      <c r="D10" s="5">
        <v>556</v>
      </c>
      <c r="E10" s="5">
        <v>620.66666666666663</v>
      </c>
      <c r="F10" s="5">
        <v>0</v>
      </c>
      <c r="G10" s="3"/>
    </row>
    <row r="11" spans="1:7" x14ac:dyDescent="0.25">
      <c r="A11" s="6" t="s">
        <v>93</v>
      </c>
      <c r="B11" s="5">
        <f>SUM(C11:F11)</f>
        <v>3882</v>
      </c>
      <c r="C11" s="5">
        <v>1739</v>
      </c>
      <c r="D11" s="5">
        <v>1164</v>
      </c>
      <c r="E11" s="5">
        <v>974</v>
      </c>
      <c r="F11" s="5">
        <v>5</v>
      </c>
      <c r="G11" s="22"/>
    </row>
    <row r="12" spans="1:7" x14ac:dyDescent="0.25">
      <c r="A12" s="6" t="s">
        <v>94</v>
      </c>
      <c r="B12" s="3">
        <f>SUM(C12:F12)</f>
        <v>3422</v>
      </c>
      <c r="C12" s="3">
        <v>1608</v>
      </c>
      <c r="D12" s="3">
        <v>867</v>
      </c>
      <c r="E12" s="3">
        <v>947</v>
      </c>
      <c r="F12" s="5"/>
    </row>
    <row r="13" spans="1:7" x14ac:dyDescent="0.25">
      <c r="A13" s="6" t="s">
        <v>77</v>
      </c>
      <c r="B13" s="5">
        <f>SUM(C13:E13)</f>
        <v>3877</v>
      </c>
      <c r="C13" s="5">
        <v>1739</v>
      </c>
      <c r="D13" s="5">
        <v>1164</v>
      </c>
      <c r="E13" s="5">
        <v>974</v>
      </c>
      <c r="F13" s="5">
        <v>5</v>
      </c>
      <c r="G13" s="22"/>
    </row>
    <row r="14" spans="1:7" x14ac:dyDescent="0.25">
      <c r="F14" s="7"/>
      <c r="G14" s="19"/>
    </row>
    <row r="15" spans="1:7" x14ac:dyDescent="0.25">
      <c r="A15" s="8" t="s">
        <v>7</v>
      </c>
      <c r="F15" s="7"/>
      <c r="G15" s="20"/>
    </row>
    <row r="16" spans="1:7" x14ac:dyDescent="0.25">
      <c r="A16" s="4" t="s">
        <v>47</v>
      </c>
      <c r="B16" s="5">
        <f>SUM(C16:F16)</f>
        <v>547959114.33000004</v>
      </c>
      <c r="C16" s="5">
        <v>295300826</v>
      </c>
      <c r="D16" s="5">
        <v>42676885.340000004</v>
      </c>
      <c r="E16" s="5">
        <v>209981402.99000001</v>
      </c>
      <c r="F16" s="5">
        <v>0</v>
      </c>
    </row>
    <row r="17" spans="1:7" x14ac:dyDescent="0.25">
      <c r="A17" s="6" t="s">
        <v>93</v>
      </c>
      <c r="B17" s="5">
        <f>SUM(C17:F17)</f>
        <v>1337239376.25</v>
      </c>
      <c r="C17" s="3">
        <v>377018850</v>
      </c>
      <c r="D17" s="3">
        <v>101470536</v>
      </c>
      <c r="E17" s="5">
        <v>608749990.25999999</v>
      </c>
      <c r="F17" s="5">
        <v>249999999.99000001</v>
      </c>
      <c r="G17" s="19"/>
    </row>
    <row r="18" spans="1:7" x14ac:dyDescent="0.25">
      <c r="A18" s="6" t="s">
        <v>94</v>
      </c>
      <c r="B18" s="3">
        <f>SUM(C18:F18)</f>
        <v>1016668970</v>
      </c>
      <c r="C18" s="5">
        <v>349422450</v>
      </c>
      <c r="D18" s="5">
        <v>75579858</v>
      </c>
      <c r="E18" s="5">
        <v>591666662</v>
      </c>
      <c r="F18" s="5"/>
    </row>
    <row r="19" spans="1:7" x14ac:dyDescent="0.25">
      <c r="A19" s="6" t="s">
        <v>77</v>
      </c>
      <c r="B19" s="3">
        <f>SUM(C19:F19)</f>
        <v>5318831520</v>
      </c>
      <c r="C19" s="9">
        <v>1498277025</v>
      </c>
      <c r="D19" s="5">
        <v>385554495</v>
      </c>
      <c r="E19" s="5">
        <v>2435000000</v>
      </c>
      <c r="F19" s="5">
        <v>1000000000</v>
      </c>
    </row>
    <row r="20" spans="1:7" x14ac:dyDescent="0.25">
      <c r="A20" s="6" t="s">
        <v>95</v>
      </c>
      <c r="B20" s="5">
        <f>SUM(C20:E20)</f>
        <v>1016668970</v>
      </c>
      <c r="C20" s="5">
        <f>C18</f>
        <v>349422450</v>
      </c>
      <c r="D20" s="5">
        <f t="shared" ref="D20:E20" si="0">D18</f>
        <v>75579858</v>
      </c>
      <c r="E20" s="5">
        <f t="shared" si="0"/>
        <v>591666662</v>
      </c>
      <c r="F20" s="5"/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8</v>
      </c>
      <c r="B22" s="5"/>
      <c r="C22" s="5"/>
      <c r="D22" s="5"/>
      <c r="E22" s="5"/>
      <c r="F22" s="5"/>
    </row>
    <row r="23" spans="1:7" x14ac:dyDescent="0.25">
      <c r="A23" s="4" t="s">
        <v>93</v>
      </c>
      <c r="B23" s="5">
        <f>B17</f>
        <v>1337239376.25</v>
      </c>
      <c r="C23" s="5"/>
      <c r="D23" s="5"/>
      <c r="E23" s="5"/>
      <c r="F23" s="5"/>
      <c r="G23" s="11"/>
    </row>
    <row r="24" spans="1:7" x14ac:dyDescent="0.25">
      <c r="A24" s="4" t="s">
        <v>94</v>
      </c>
      <c r="B24" s="5">
        <v>1034958202.1</v>
      </c>
      <c r="C24" s="23"/>
      <c r="D24" s="23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9</v>
      </c>
      <c r="B26" s="7"/>
      <c r="C26" s="7"/>
      <c r="D26" s="7"/>
      <c r="E26" s="7"/>
      <c r="F26" s="7"/>
    </row>
    <row r="27" spans="1:7" x14ac:dyDescent="0.25">
      <c r="A27" s="4" t="s">
        <v>48</v>
      </c>
      <c r="B27" s="17">
        <v>1.4773597119666666</v>
      </c>
      <c r="C27" s="17">
        <v>1.4773597119666666</v>
      </c>
      <c r="D27" s="17">
        <v>1.4773597119666666</v>
      </c>
      <c r="E27" s="17">
        <v>1.4773597119666666</v>
      </c>
      <c r="F27" s="17">
        <v>1.4773597119666699</v>
      </c>
    </row>
    <row r="28" spans="1:7" x14ac:dyDescent="0.25">
      <c r="A28" s="4" t="s">
        <v>96</v>
      </c>
      <c r="B28" s="17">
        <v>1.5396358920333333</v>
      </c>
      <c r="C28" s="17">
        <v>1.5396358920333333</v>
      </c>
      <c r="D28" s="17">
        <v>1.5396358920333333</v>
      </c>
      <c r="E28" s="17">
        <v>1.5396358920333333</v>
      </c>
      <c r="F28" s="17">
        <v>1.53963589203333</v>
      </c>
    </row>
    <row r="29" spans="1:7" x14ac:dyDescent="0.25">
      <c r="A29" s="4" t="s">
        <v>11</v>
      </c>
      <c r="B29" s="5">
        <v>17069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12</v>
      </c>
      <c r="B31" s="7"/>
      <c r="C31" s="7"/>
      <c r="D31" s="7"/>
      <c r="E31" s="7"/>
      <c r="F31" s="7"/>
    </row>
    <row r="32" spans="1:7" x14ac:dyDescent="0.25">
      <c r="A32" s="7" t="s">
        <v>49</v>
      </c>
      <c r="B32" s="5">
        <f>B16/B27</f>
        <v>370904330.1313225</v>
      </c>
      <c r="C32" s="5">
        <f>C16/C27</f>
        <v>199884174.18456233</v>
      </c>
      <c r="D32" s="5">
        <f>D16/D27</f>
        <v>28887267.59929603</v>
      </c>
      <c r="E32" s="5">
        <f>E16/E27</f>
        <v>142132888.34746414</v>
      </c>
      <c r="F32" s="5">
        <f>F16/F27</f>
        <v>0</v>
      </c>
    </row>
    <row r="33" spans="1:6" x14ac:dyDescent="0.25">
      <c r="A33" s="7" t="s">
        <v>97</v>
      </c>
      <c r="B33" s="5">
        <f>B18/B28</f>
        <v>660330780.32321489</v>
      </c>
      <c r="C33" s="5">
        <f>C18/C28</f>
        <v>226951353.76360461</v>
      </c>
      <c r="D33" s="5">
        <f>D18/D28</f>
        <v>49089436.269366786</v>
      </c>
      <c r="E33" s="5">
        <f>E18/E28</f>
        <v>384289990.29024345</v>
      </c>
      <c r="F33" s="5">
        <f>F18/F28</f>
        <v>0</v>
      </c>
    </row>
    <row r="34" spans="1:6" x14ac:dyDescent="0.25">
      <c r="A34" s="7" t="s">
        <v>50</v>
      </c>
      <c r="B34" s="5">
        <f>B32/(B10*3)</f>
        <v>45864.26735888741</v>
      </c>
      <c r="C34" s="5">
        <f t="shared" ref="C34:F34" si="1">C32/(C10*3)</f>
        <v>43863.106031284253</v>
      </c>
      <c r="D34" s="5">
        <f t="shared" si="1"/>
        <v>17318.505754973638</v>
      </c>
      <c r="E34" s="5">
        <f t="shared" si="1"/>
        <v>76333.452388541424</v>
      </c>
      <c r="F34" s="5" t="e">
        <f t="shared" si="1"/>
        <v>#DIV/0!</v>
      </c>
    </row>
    <row r="35" spans="1:6" x14ac:dyDescent="0.25">
      <c r="A35" s="7" t="s">
        <v>98</v>
      </c>
      <c r="B35" s="5">
        <f>B33/(B12*3)</f>
        <v>64322.109908748775</v>
      </c>
      <c r="C35" s="5">
        <f t="shared" ref="C35:F35" si="2">C33/(C12*3)</f>
        <v>47046.300531427158</v>
      </c>
      <c r="D35" s="5">
        <f t="shared" si="2"/>
        <v>18873.293452274811</v>
      </c>
      <c r="E35" s="5">
        <f t="shared" si="2"/>
        <v>135265.74807822719</v>
      </c>
      <c r="F35" s="5" t="e">
        <f t="shared" si="2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15</v>
      </c>
    </row>
    <row r="39" spans="1:6" x14ac:dyDescent="0.25">
      <c r="A39" t="s">
        <v>16</v>
      </c>
    </row>
    <row r="40" spans="1:6" x14ac:dyDescent="0.25">
      <c r="A40" t="s">
        <v>17</v>
      </c>
      <c r="B40" s="14">
        <f>B11/B29*100</f>
        <v>22.742984357607359</v>
      </c>
      <c r="C40" s="14" t="e">
        <f>C11/C29*100</f>
        <v>#DIV/0!</v>
      </c>
      <c r="D40" s="14" t="e">
        <f>D11/D29*100</f>
        <v>#DIV/0!</v>
      </c>
      <c r="E40" s="14" t="e">
        <f>E11/E29*100</f>
        <v>#DIV/0!</v>
      </c>
      <c r="F40" s="14" t="e">
        <f>F11/F29*100</f>
        <v>#DIV/0!</v>
      </c>
    </row>
    <row r="41" spans="1:6" x14ac:dyDescent="0.25">
      <c r="A41" t="s">
        <v>18</v>
      </c>
      <c r="B41" s="14">
        <f>B12/B29*100</f>
        <v>20.048040306989279</v>
      </c>
      <c r="C41" s="14" t="e">
        <f>C12/C29*100</f>
        <v>#DIV/0!</v>
      </c>
      <c r="D41" s="14" t="e">
        <f>D12/D29*100</f>
        <v>#DIV/0!</v>
      </c>
      <c r="E41" s="14" t="e">
        <f>E12/E29*100</f>
        <v>#DIV/0!</v>
      </c>
      <c r="F41" s="14" t="e">
        <f>F12/F29*100</f>
        <v>#DIV/0!</v>
      </c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19</v>
      </c>
      <c r="B43" s="7"/>
      <c r="C43" s="7"/>
      <c r="D43" s="7"/>
      <c r="E43" s="7"/>
      <c r="F43" s="7"/>
    </row>
    <row r="44" spans="1:6" x14ac:dyDescent="0.25">
      <c r="A44" t="s">
        <v>20</v>
      </c>
      <c r="B44" s="14">
        <f>B12/B11*100</f>
        <v>88.150437918598655</v>
      </c>
      <c r="C44" s="14">
        <f>C12/C11*100</f>
        <v>92.466935020126499</v>
      </c>
      <c r="D44" s="14">
        <f>D12/D11*100</f>
        <v>74.484536082474222</v>
      </c>
      <c r="E44" s="14">
        <f>E12/E11*100</f>
        <v>97.227926078028744</v>
      </c>
      <c r="F44" s="14">
        <f>F12/F11*100</f>
        <v>0</v>
      </c>
    </row>
    <row r="45" spans="1:6" x14ac:dyDescent="0.25">
      <c r="A45" t="s">
        <v>21</v>
      </c>
      <c r="B45" s="14">
        <f>B18/B17*100</f>
        <v>76.027447894260277</v>
      </c>
      <c r="C45" s="14">
        <f>C18/C17*100</f>
        <v>92.680365981700916</v>
      </c>
      <c r="D45" s="14">
        <f>D18/D17*100</f>
        <v>74.484536082474222</v>
      </c>
      <c r="E45" s="14">
        <f>E18/E17*100</f>
        <v>97.193703731690633</v>
      </c>
      <c r="F45" s="14">
        <f>F18/F17*100</f>
        <v>0</v>
      </c>
    </row>
    <row r="46" spans="1:6" x14ac:dyDescent="0.25">
      <c r="A46" s="7" t="s">
        <v>22</v>
      </c>
      <c r="B46" s="14">
        <f>AVERAGE(B44:B45)</f>
        <v>82.088942906429466</v>
      </c>
      <c r="C46" s="14">
        <f>AVERAGE(C44:C45)</f>
        <v>92.573650500913715</v>
      </c>
      <c r="D46" s="14">
        <f>AVERAGE(D44:D45)</f>
        <v>74.484536082474222</v>
      </c>
      <c r="E46" s="14">
        <f>AVERAGE(E44:E45)</f>
        <v>97.210814904859689</v>
      </c>
      <c r="F46" s="14">
        <f>AVERAGE(F44:F45)</f>
        <v>0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23</v>
      </c>
      <c r="B48" s="7"/>
      <c r="C48" s="7"/>
      <c r="D48" s="7"/>
      <c r="E48" s="7"/>
      <c r="F48" s="7"/>
    </row>
    <row r="49" spans="1:7" x14ac:dyDescent="0.25">
      <c r="A49" s="7" t="s">
        <v>24</v>
      </c>
      <c r="B49" s="14">
        <f>(B12/B13)*100</f>
        <v>88.264121743616201</v>
      </c>
      <c r="C49" s="14">
        <f t="shared" ref="C49:E49" si="3">(C12/C13)*100</f>
        <v>92.466935020126499</v>
      </c>
      <c r="D49" s="14">
        <f t="shared" si="3"/>
        <v>74.484536082474222</v>
      </c>
      <c r="E49" s="14">
        <f t="shared" si="3"/>
        <v>97.227926078028744</v>
      </c>
      <c r="F49" s="14">
        <f>(F12*3)/F13*100</f>
        <v>0</v>
      </c>
    </row>
    <row r="50" spans="1:7" x14ac:dyDescent="0.25">
      <c r="A50" s="7" t="s">
        <v>25</v>
      </c>
      <c r="B50" s="14">
        <f>B18/B19*100</f>
        <v>19.114517280291668</v>
      </c>
      <c r="C50" s="14">
        <f>C18/C19*100</f>
        <v>23.321618376948685</v>
      </c>
      <c r="D50" s="14">
        <f>D18/D19*100</f>
        <v>19.602898936504424</v>
      </c>
      <c r="E50" s="14">
        <f>E18/E19*100</f>
        <v>24.298425544147843</v>
      </c>
      <c r="F50" s="14">
        <f>F18/F19*100</f>
        <v>0</v>
      </c>
    </row>
    <row r="51" spans="1:7" x14ac:dyDescent="0.25">
      <c r="A51" s="7" t="s">
        <v>26</v>
      </c>
      <c r="B51" s="14">
        <f>(B49+B50)/2</f>
        <v>53.689319511953933</v>
      </c>
      <c r="C51" s="14">
        <f>(C49+C50)/2</f>
        <v>57.894276698537595</v>
      </c>
      <c r="D51" s="14">
        <f>(D49+D50)/2</f>
        <v>47.043717509489326</v>
      </c>
      <c r="E51" s="14">
        <f>(E49+E50)/2</f>
        <v>60.763175811088296</v>
      </c>
      <c r="F51" s="14">
        <f>(F49+F50)/2</f>
        <v>0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27</v>
      </c>
      <c r="B53" s="7"/>
      <c r="C53" s="7"/>
      <c r="D53" s="7"/>
      <c r="E53" s="7"/>
      <c r="F53" s="7"/>
    </row>
    <row r="54" spans="1:7" x14ac:dyDescent="0.25">
      <c r="A54" s="7" t="s">
        <v>28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 t="e">
        <f>F20/F18*100</f>
        <v>#DIV/0!</v>
      </c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29</v>
      </c>
      <c r="B56" s="7"/>
      <c r="C56" s="7"/>
      <c r="D56" s="7"/>
      <c r="E56" s="7"/>
      <c r="F56" s="7"/>
    </row>
    <row r="57" spans="1:7" x14ac:dyDescent="0.25">
      <c r="A57" s="7" t="s">
        <v>30</v>
      </c>
      <c r="B57" s="14">
        <f>((B12/B10)-1)*100</f>
        <v>26.94447879312478</v>
      </c>
      <c r="C57" s="14">
        <f>((C12/C10)-1)*100</f>
        <v>5.8591178406846689</v>
      </c>
      <c r="D57" s="14">
        <f>((D12/D10)-1)*100</f>
        <v>55.935251798561161</v>
      </c>
      <c r="E57" s="14">
        <f>((E12/E10)-1)*100</f>
        <v>52.577873254564999</v>
      </c>
      <c r="F57" s="14" t="e">
        <f>((F12/F10)-1)*100</f>
        <v>#DIV/0!</v>
      </c>
    </row>
    <row r="58" spans="1:7" x14ac:dyDescent="0.25">
      <c r="A58" s="7" t="s">
        <v>31</v>
      </c>
      <c r="B58" s="14">
        <f>((B33/B32)-1)*100</f>
        <v>78.032642565649752</v>
      </c>
      <c r="C58" s="14">
        <f>((C33/C32)-1)*100</f>
        <v>13.541432026554489</v>
      </c>
      <c r="D58" s="14">
        <f>((D33/D32)-1)*100</f>
        <v>69.934508691860756</v>
      </c>
      <c r="E58" s="14">
        <f>((E33/E32)-1)*100</f>
        <v>170.3737289506083</v>
      </c>
      <c r="F58" s="14" t="e">
        <f>((F33/F32)-1)*100</f>
        <v>#DIV/0!</v>
      </c>
      <c r="G58" s="14"/>
    </row>
    <row r="59" spans="1:7" x14ac:dyDescent="0.25">
      <c r="A59" s="7" t="s">
        <v>32</v>
      </c>
      <c r="B59" s="14">
        <f>((B35/B34)-1)*100</f>
        <v>40.244494489422337</v>
      </c>
      <c r="C59" s="14">
        <f>((C35/C34)-1)*100</f>
        <v>7.2571114728459341</v>
      </c>
      <c r="D59" s="14">
        <f>((D35/D34)-1)*100</f>
        <v>8.9776088035462323</v>
      </c>
      <c r="E59" s="14">
        <f>((E35/E34)-1)*100</f>
        <v>77.203760403390604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33</v>
      </c>
      <c r="B61" s="7"/>
      <c r="C61" s="7"/>
      <c r="D61" s="7"/>
      <c r="E61" s="7"/>
      <c r="F61" s="7"/>
    </row>
    <row r="62" spans="1:7" x14ac:dyDescent="0.25">
      <c r="A62" s="7" t="s">
        <v>34</v>
      </c>
      <c r="B62" s="5">
        <f>B17/(B11*3)</f>
        <v>114823.92033745493</v>
      </c>
      <c r="C62" s="5">
        <f t="shared" ref="C62:E63" si="4">C17/(C11*3)</f>
        <v>72267.366302472685</v>
      </c>
      <c r="D62" s="5">
        <f t="shared" si="4"/>
        <v>29058</v>
      </c>
      <c r="E62" s="5">
        <f>E17/(E11*3)</f>
        <v>208333.33</v>
      </c>
      <c r="F62" s="5">
        <f>F17/(F11*3)</f>
        <v>16666666.666000001</v>
      </c>
    </row>
    <row r="63" spans="1:7" x14ac:dyDescent="0.25">
      <c r="A63" s="7" t="s">
        <v>35</v>
      </c>
      <c r="B63" s="5">
        <f>$B$18/(B12*3)</f>
        <v>99032.629066822527</v>
      </c>
      <c r="C63" s="5">
        <f>C18/(C12*3)</f>
        <v>72434.172885572145</v>
      </c>
      <c r="D63" s="5">
        <f t="shared" si="4"/>
        <v>29058</v>
      </c>
      <c r="E63" s="5">
        <f t="shared" si="4"/>
        <v>208260.00070397748</v>
      </c>
      <c r="F63" s="5" t="e">
        <f>$B$18/(F12*3)</f>
        <v>#DIV/0!</v>
      </c>
    </row>
    <row r="64" spans="1:7" x14ac:dyDescent="0.25">
      <c r="A64" s="7" t="s">
        <v>36</v>
      </c>
      <c r="B64" s="14">
        <f>(B62/B63)*B46</f>
        <v>95.17847127448951</v>
      </c>
      <c r="C64" s="14">
        <f>(C62/C63)*C46</f>
        <v>92.36046529136496</v>
      </c>
      <c r="D64" s="14">
        <f>(D62/D63)*D46</f>
        <v>74.484536082474222</v>
      </c>
      <c r="E64" s="14">
        <f>E62/E63*E46</f>
        <v>97.245043276119887</v>
      </c>
      <c r="F64" s="14" t="e">
        <f>(F62/F63)*F46</f>
        <v>#DIV/0!</v>
      </c>
    </row>
    <row r="65" spans="1:7" x14ac:dyDescent="0.25">
      <c r="A65" s="7"/>
      <c r="B65" s="14"/>
      <c r="C65" s="14"/>
      <c r="D65" s="14"/>
      <c r="E65" s="14"/>
      <c r="F65" s="14"/>
    </row>
    <row r="66" spans="1:7" x14ac:dyDescent="0.25">
      <c r="A66" s="7" t="s">
        <v>37</v>
      </c>
      <c r="B66" s="14"/>
      <c r="C66" s="14"/>
      <c r="D66" s="14"/>
      <c r="E66" s="14"/>
      <c r="F66" s="14"/>
    </row>
    <row r="67" spans="1:7" x14ac:dyDescent="0.25">
      <c r="A67" s="7" t="s">
        <v>38</v>
      </c>
      <c r="B67" s="14">
        <f>(B24/B23)*100</f>
        <v>77.395133622397324</v>
      </c>
      <c r="C67" s="14"/>
      <c r="D67" s="14"/>
      <c r="E67" s="14"/>
      <c r="F67" s="14"/>
      <c r="G67" s="11"/>
    </row>
    <row r="68" spans="1:7" x14ac:dyDescent="0.25">
      <c r="A68" s="7" t="s">
        <v>39</v>
      </c>
      <c r="B68" s="14">
        <f>(B18/B24)*100</f>
        <v>98.232853069535565</v>
      </c>
      <c r="C68" s="14"/>
      <c r="D68" s="14"/>
      <c r="E68" s="14"/>
      <c r="F68" s="14"/>
      <c r="G68" s="11"/>
    </row>
    <row r="69" spans="1:7" ht="15.75" thickBot="1" x14ac:dyDescent="0.3">
      <c r="A69" s="21"/>
      <c r="B69" s="15"/>
      <c r="C69" s="15"/>
      <c r="D69" s="15"/>
      <c r="E69" s="15"/>
      <c r="F69" s="15"/>
    </row>
    <row r="70" spans="1:7" ht="15.75" thickTop="1" x14ac:dyDescent="0.25"/>
    <row r="71" spans="1:7" x14ac:dyDescent="0.25">
      <c r="A71" t="s">
        <v>46</v>
      </c>
    </row>
    <row r="72" spans="1:7" x14ac:dyDescent="0.25">
      <c r="A72" t="s">
        <v>127</v>
      </c>
    </row>
    <row r="73" spans="1:7" x14ac:dyDescent="0.25">
      <c r="A73" t="s">
        <v>82</v>
      </c>
      <c r="B73" s="16"/>
      <c r="C73" s="16"/>
      <c r="D73" s="16"/>
    </row>
    <row r="74" spans="1:7" x14ac:dyDescent="0.25">
      <c r="A74" t="s">
        <v>83</v>
      </c>
    </row>
    <row r="75" spans="1:7" x14ac:dyDescent="0.25">
      <c r="A75" t="s">
        <v>84</v>
      </c>
    </row>
    <row r="77" spans="1:7" x14ac:dyDescent="0.25">
      <c r="A77" t="s">
        <v>67</v>
      </c>
    </row>
    <row r="78" spans="1:7" x14ac:dyDescent="0.25">
      <c r="A78" t="s">
        <v>68</v>
      </c>
    </row>
    <row r="79" spans="1:7" x14ac:dyDescent="0.25">
      <c r="A79" t="s">
        <v>69</v>
      </c>
    </row>
    <row r="80" spans="1:7" x14ac:dyDescent="0.25">
      <c r="A80" t="s">
        <v>70</v>
      </c>
    </row>
    <row r="81" spans="1:1" x14ac:dyDescent="0.25">
      <c r="A81" t="s">
        <v>130</v>
      </c>
    </row>
    <row r="83" spans="1:1" x14ac:dyDescent="0.25">
      <c r="A83" t="s">
        <v>131</v>
      </c>
    </row>
  </sheetData>
  <mergeCells count="3">
    <mergeCell ref="A4:A5"/>
    <mergeCell ref="A2:E2"/>
    <mergeCell ref="C4:F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5"/>
  <sheetViews>
    <sheetView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C20" sqref="C20:E20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6" t="s">
        <v>99</v>
      </c>
      <c r="B2" s="26"/>
      <c r="C2" s="26"/>
      <c r="D2" s="26"/>
      <c r="E2" s="26"/>
    </row>
    <row r="4" spans="1:7" ht="15" customHeight="1" x14ac:dyDescent="0.25">
      <c r="A4" s="27" t="s">
        <v>0</v>
      </c>
      <c r="B4" s="18" t="s">
        <v>40</v>
      </c>
      <c r="C4" s="31" t="s">
        <v>2</v>
      </c>
      <c r="D4" s="31"/>
      <c r="E4" s="31"/>
      <c r="F4" s="31"/>
    </row>
    <row r="5" spans="1:7" ht="15.75" thickBot="1" x14ac:dyDescent="0.3">
      <c r="A5" s="28"/>
      <c r="B5" s="1" t="s">
        <v>41</v>
      </c>
      <c r="C5" s="1" t="s">
        <v>128</v>
      </c>
      <c r="D5" s="1" t="s">
        <v>129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71</v>
      </c>
    </row>
    <row r="10" spans="1:7" x14ac:dyDescent="0.25">
      <c r="A10" s="4" t="s">
        <v>51</v>
      </c>
      <c r="B10" s="5">
        <f t="shared" ref="B10" si="0">SUM(C10:E10)</f>
        <v>5049.3333333333339</v>
      </c>
      <c r="C10" s="5">
        <v>1556</v>
      </c>
      <c r="D10" s="5">
        <v>732.33333333333337</v>
      </c>
      <c r="E10" s="5">
        <v>2761</v>
      </c>
      <c r="F10" s="5">
        <v>0</v>
      </c>
      <c r="G10" s="3"/>
    </row>
    <row r="11" spans="1:7" x14ac:dyDescent="0.25">
      <c r="A11" s="6" t="s">
        <v>100</v>
      </c>
      <c r="B11" s="5">
        <f>SUM(C11:E11)</f>
        <v>3877</v>
      </c>
      <c r="C11" s="5">
        <v>1739</v>
      </c>
      <c r="D11" s="5">
        <v>1164</v>
      </c>
      <c r="E11" s="5">
        <v>974</v>
      </c>
      <c r="F11" s="5">
        <v>5</v>
      </c>
      <c r="G11" s="22"/>
    </row>
    <row r="12" spans="1:7" x14ac:dyDescent="0.25">
      <c r="A12" s="6" t="s">
        <v>101</v>
      </c>
      <c r="B12" s="3">
        <f>SUM(C12:E12)</f>
        <v>3631</v>
      </c>
      <c r="C12" s="3">
        <v>1659</v>
      </c>
      <c r="D12" s="3">
        <v>890</v>
      </c>
      <c r="E12" s="5">
        <v>1082</v>
      </c>
      <c r="F12" s="5"/>
    </row>
    <row r="13" spans="1:7" x14ac:dyDescent="0.25">
      <c r="A13" s="6" t="s">
        <v>77</v>
      </c>
      <c r="B13" s="5">
        <f>SUM(C13:E13)</f>
        <v>3877</v>
      </c>
      <c r="C13" s="5">
        <v>1739</v>
      </c>
      <c r="D13" s="5">
        <v>1164</v>
      </c>
      <c r="E13" s="5">
        <v>974</v>
      </c>
      <c r="F13" s="5">
        <v>5</v>
      </c>
      <c r="G13" s="22"/>
    </row>
    <row r="14" spans="1:7" x14ac:dyDescent="0.25">
      <c r="F14" s="7"/>
      <c r="G14" s="19"/>
    </row>
    <row r="15" spans="1:7" x14ac:dyDescent="0.25">
      <c r="A15" s="8" t="s">
        <v>7</v>
      </c>
      <c r="F15" s="7"/>
      <c r="G15" s="20"/>
    </row>
    <row r="16" spans="1:7" x14ac:dyDescent="0.25">
      <c r="A16" s="4" t="s">
        <v>51</v>
      </c>
      <c r="B16" s="5">
        <f>SUM(C16:E16)</f>
        <v>2125267772.1900001</v>
      </c>
      <c r="C16" s="5">
        <v>592490236.00999999</v>
      </c>
      <c r="D16" s="5">
        <v>95760053.150000006</v>
      </c>
      <c r="E16" s="5">
        <v>1437017483.03</v>
      </c>
      <c r="F16" s="5">
        <v>0</v>
      </c>
    </row>
    <row r="17" spans="1:7" x14ac:dyDescent="0.25">
      <c r="A17" s="6" t="s">
        <v>100</v>
      </c>
      <c r="B17" s="5">
        <f>SUM(C17:F17)</f>
        <v>1337239376.25</v>
      </c>
      <c r="C17" s="3">
        <v>377018850</v>
      </c>
      <c r="D17" s="3">
        <v>101470536</v>
      </c>
      <c r="E17" s="5">
        <v>608749990.25999999</v>
      </c>
      <c r="F17" s="5">
        <v>249999999.99000001</v>
      </c>
      <c r="G17" s="19"/>
    </row>
    <row r="18" spans="1:7" x14ac:dyDescent="0.25">
      <c r="A18" s="6" t="s">
        <v>101</v>
      </c>
      <c r="B18" s="3">
        <f>SUM(C18:E18)</f>
        <v>1119815024</v>
      </c>
      <c r="C18" s="5">
        <v>363660870</v>
      </c>
      <c r="D18" s="5">
        <v>77526744</v>
      </c>
      <c r="E18" s="5">
        <v>678627410</v>
      </c>
      <c r="F18" s="5"/>
    </row>
    <row r="19" spans="1:7" x14ac:dyDescent="0.25">
      <c r="A19" s="6" t="s">
        <v>77</v>
      </c>
      <c r="B19" s="3">
        <f>SUM(C19:F19)</f>
        <v>5318831520</v>
      </c>
      <c r="C19" s="9">
        <v>1498277025</v>
      </c>
      <c r="D19" s="5">
        <v>385554495</v>
      </c>
      <c r="E19" s="5">
        <v>2435000000</v>
      </c>
      <c r="F19" s="5">
        <v>1000000000</v>
      </c>
    </row>
    <row r="20" spans="1:7" x14ac:dyDescent="0.25">
      <c r="A20" s="6" t="s">
        <v>102</v>
      </c>
      <c r="B20" s="5">
        <f>SUM(C20:E20)</f>
        <v>1119815024</v>
      </c>
      <c r="C20" s="5">
        <f>C18</f>
        <v>363660870</v>
      </c>
      <c r="D20" s="5">
        <f t="shared" ref="D20:E20" si="1">D18</f>
        <v>77526744</v>
      </c>
      <c r="E20" s="5">
        <f t="shared" si="1"/>
        <v>678627410</v>
      </c>
      <c r="F20" s="5"/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8</v>
      </c>
      <c r="B22" s="5"/>
      <c r="C22" s="5"/>
      <c r="D22" s="5"/>
      <c r="E22" s="5"/>
      <c r="F22" s="5"/>
    </row>
    <row r="23" spans="1:7" x14ac:dyDescent="0.25">
      <c r="A23" s="4" t="s">
        <v>100</v>
      </c>
      <c r="B23" s="5">
        <f>B17</f>
        <v>1337239376.25</v>
      </c>
      <c r="C23" s="5"/>
      <c r="D23" s="5"/>
      <c r="E23" s="5"/>
      <c r="F23" s="5"/>
      <c r="G23" s="11"/>
    </row>
    <row r="24" spans="1:7" x14ac:dyDescent="0.25">
      <c r="A24" s="4" t="s">
        <v>101</v>
      </c>
      <c r="B24" s="5">
        <v>1044571230.26</v>
      </c>
      <c r="C24" s="23"/>
      <c r="D24" s="23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9</v>
      </c>
      <c r="B26" s="7"/>
      <c r="C26" s="7"/>
      <c r="D26" s="7"/>
      <c r="E26" s="7"/>
      <c r="F26" s="7"/>
    </row>
    <row r="27" spans="1:7" x14ac:dyDescent="0.25">
      <c r="A27" s="4" t="s">
        <v>52</v>
      </c>
      <c r="B27" s="17">
        <v>1.4880743485666665</v>
      </c>
      <c r="C27" s="17">
        <v>1.4880743485666665</v>
      </c>
      <c r="D27" s="17">
        <v>1.4880743485666665</v>
      </c>
      <c r="E27" s="17">
        <v>1.4880743485666665</v>
      </c>
      <c r="F27" s="17">
        <v>1.4880743485666665</v>
      </c>
    </row>
    <row r="28" spans="1:7" x14ac:dyDescent="0.25">
      <c r="A28" s="4" t="s">
        <v>103</v>
      </c>
      <c r="B28" s="17">
        <v>1.56</v>
      </c>
      <c r="C28" s="17">
        <v>1.56</v>
      </c>
      <c r="D28" s="17">
        <v>1.56</v>
      </c>
      <c r="E28" s="17">
        <v>1.56</v>
      </c>
      <c r="F28" s="17">
        <v>1.56</v>
      </c>
    </row>
    <row r="29" spans="1:7" x14ac:dyDescent="0.25">
      <c r="A29" s="4" t="s">
        <v>11</v>
      </c>
      <c r="B29" s="5">
        <v>17069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12</v>
      </c>
      <c r="B31" s="7"/>
      <c r="C31" s="7"/>
      <c r="D31" s="7"/>
      <c r="E31" s="7"/>
      <c r="F31" s="7"/>
    </row>
    <row r="32" spans="1:7" x14ac:dyDescent="0.25">
      <c r="A32" s="7" t="s">
        <v>53</v>
      </c>
      <c r="B32" s="5">
        <f>B16/B27</f>
        <v>1428199991.6449652</v>
      </c>
      <c r="C32" s="5">
        <f>C16/C27</f>
        <v>398159027.86086911</v>
      </c>
      <c r="D32" s="5">
        <f>D16/D27</f>
        <v>64351659.07015156</v>
      </c>
      <c r="E32" s="5">
        <f>E16/E27</f>
        <v>965689304.71394444</v>
      </c>
      <c r="F32" s="5">
        <f>F16/F27</f>
        <v>0</v>
      </c>
    </row>
    <row r="33" spans="1:6" x14ac:dyDescent="0.25">
      <c r="A33" s="7" t="s">
        <v>104</v>
      </c>
      <c r="B33" s="5">
        <f>B18/B28</f>
        <v>717830143.58974361</v>
      </c>
      <c r="C33" s="5">
        <f>C18/C28</f>
        <v>233115942.30769229</v>
      </c>
      <c r="D33" s="5">
        <f>D18/D28</f>
        <v>49696630.769230768</v>
      </c>
      <c r="E33" s="5">
        <f>E18/E28</f>
        <v>435017570.51282048</v>
      </c>
      <c r="F33" s="5">
        <f>F18/F28</f>
        <v>0</v>
      </c>
    </row>
    <row r="34" spans="1:6" x14ac:dyDescent="0.25">
      <c r="A34" s="7" t="s">
        <v>54</v>
      </c>
      <c r="B34" s="5">
        <f>B32/(B10*3)</f>
        <v>94283.073121531881</v>
      </c>
      <c r="C34" s="5">
        <f t="shared" ref="C34:F34" si="2">C32/(C10*3)</f>
        <v>85295.421564025091</v>
      </c>
      <c r="D34" s="5">
        <f t="shared" si="2"/>
        <v>29290.695980952009</v>
      </c>
      <c r="E34" s="5">
        <f t="shared" si="2"/>
        <v>116586.90145043396</v>
      </c>
      <c r="F34" s="5" t="e">
        <f t="shared" si="2"/>
        <v>#DIV/0!</v>
      </c>
    </row>
    <row r="35" spans="1:6" x14ac:dyDescent="0.25">
      <c r="A35" s="7" t="s">
        <v>105</v>
      </c>
      <c r="B35" s="5">
        <f>B33/(B12*3)</f>
        <v>65898.296483038983</v>
      </c>
      <c r="C35" s="5">
        <f t="shared" ref="C35:F35" si="3">C33/(C12*3)</f>
        <v>46838.646234215848</v>
      </c>
      <c r="D35" s="5">
        <f t="shared" si="3"/>
        <v>18612.970325554594</v>
      </c>
      <c r="E35" s="5">
        <f t="shared" si="3"/>
        <v>134016.50354677156</v>
      </c>
      <c r="F35" s="5" t="e">
        <f t="shared" si="3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15</v>
      </c>
      <c r="F37" s="7"/>
    </row>
    <row r="38" spans="1:6" x14ac:dyDescent="0.25">
      <c r="F38" s="7"/>
    </row>
    <row r="39" spans="1:6" x14ac:dyDescent="0.25">
      <c r="A39" t="s">
        <v>16</v>
      </c>
      <c r="F39" s="7"/>
    </row>
    <row r="40" spans="1:6" x14ac:dyDescent="0.25">
      <c r="A40" t="s">
        <v>17</v>
      </c>
      <c r="B40" s="14">
        <f>B11/B29*100</f>
        <v>22.713691487491943</v>
      </c>
      <c r="C40" s="14" t="e">
        <f>C11/C29*100</f>
        <v>#DIV/0!</v>
      </c>
      <c r="D40" s="14" t="e">
        <f>D11/D29*100</f>
        <v>#DIV/0!</v>
      </c>
      <c r="E40" s="14" t="e">
        <f>E11/E29*100</f>
        <v>#DIV/0!</v>
      </c>
      <c r="F40" s="14" t="e">
        <f>F11/F29*100</f>
        <v>#DIV/0!</v>
      </c>
    </row>
    <row r="41" spans="1:6" x14ac:dyDescent="0.25">
      <c r="A41" t="s">
        <v>18</v>
      </c>
      <c r="B41" s="14">
        <f>B12/B29*100</f>
        <v>21.27248227781358</v>
      </c>
      <c r="C41" s="14" t="e">
        <f>C12/C29*100</f>
        <v>#DIV/0!</v>
      </c>
      <c r="D41" s="14" t="e">
        <f>D12/D29*100</f>
        <v>#DIV/0!</v>
      </c>
      <c r="E41" s="14" t="e">
        <f>E12/E29*100</f>
        <v>#DIV/0!</v>
      </c>
      <c r="F41" s="14" t="e">
        <f>F12/F29*100</f>
        <v>#DIV/0!</v>
      </c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19</v>
      </c>
      <c r="B43" s="7"/>
      <c r="C43" s="7"/>
      <c r="D43" s="7"/>
      <c r="E43" s="7"/>
      <c r="F43" s="7"/>
    </row>
    <row r="44" spans="1:6" x14ac:dyDescent="0.25">
      <c r="A44" t="s">
        <v>20</v>
      </c>
      <c r="B44" s="14">
        <f>B12/B11*100</f>
        <v>93.654887799845241</v>
      </c>
      <c r="C44" s="14">
        <f>C12/C11*100</f>
        <v>95.399654974123067</v>
      </c>
      <c r="D44" s="14">
        <f>D12/D11*100</f>
        <v>76.460481099656349</v>
      </c>
      <c r="E44" s="14">
        <f>E12/E11*100</f>
        <v>111.08829568788501</v>
      </c>
      <c r="F44" s="14">
        <f>F12/F11*100</f>
        <v>0</v>
      </c>
    </row>
    <row r="45" spans="1:6" x14ac:dyDescent="0.25">
      <c r="A45" t="s">
        <v>21</v>
      </c>
      <c r="B45" s="14">
        <f>B18/B17*100</f>
        <v>83.740805415129202</v>
      </c>
      <c r="C45" s="14">
        <f>C18/C17*100</f>
        <v>96.45694638345006</v>
      </c>
      <c r="D45" s="14">
        <f>D18/D17*100</f>
        <v>76.403207331042381</v>
      </c>
      <c r="E45" s="14">
        <f>E18/E17*100</f>
        <v>111.47883710193656</v>
      </c>
      <c r="F45" s="14">
        <f>F18/F17*100</f>
        <v>0</v>
      </c>
    </row>
    <row r="46" spans="1:6" x14ac:dyDescent="0.25">
      <c r="A46" s="7" t="s">
        <v>22</v>
      </c>
      <c r="B46" s="14">
        <f>AVERAGE(B44:B45)</f>
        <v>88.697846607487222</v>
      </c>
      <c r="C46" s="14">
        <f>AVERAGE(C44:C45)</f>
        <v>95.92830067878657</v>
      </c>
      <c r="D46" s="14">
        <f>AVERAGE(D44:D45)</f>
        <v>76.431844215349372</v>
      </c>
      <c r="E46" s="14">
        <f>AVERAGE(E44:E45)</f>
        <v>111.28356639491079</v>
      </c>
      <c r="F46" s="14">
        <f>AVERAGE(F44:F45)</f>
        <v>0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23</v>
      </c>
      <c r="B48" s="7"/>
      <c r="C48" s="7"/>
      <c r="D48" s="7"/>
      <c r="E48" s="7"/>
      <c r="F48" s="7"/>
    </row>
    <row r="49" spans="1:7" x14ac:dyDescent="0.25">
      <c r="A49" s="7" t="s">
        <v>24</v>
      </c>
      <c r="B49" s="14">
        <f>(B12/B13)*100</f>
        <v>93.654887799845241</v>
      </c>
      <c r="C49" s="14">
        <f t="shared" ref="C49:E49" si="4">(C12/C13)*100</f>
        <v>95.399654974123067</v>
      </c>
      <c r="D49" s="14">
        <f t="shared" si="4"/>
        <v>76.460481099656349</v>
      </c>
      <c r="E49" s="14">
        <f t="shared" si="4"/>
        <v>111.08829568788501</v>
      </c>
      <c r="F49" s="14">
        <f>(F12*3)/F13*100</f>
        <v>0</v>
      </c>
    </row>
    <row r="50" spans="1:7" x14ac:dyDescent="0.25">
      <c r="A50" s="7" t="s">
        <v>25</v>
      </c>
      <c r="B50" s="14">
        <f>B18/B19*100</f>
        <v>21.053778819450176</v>
      </c>
      <c r="C50" s="14">
        <f>C18/C19*100</f>
        <v>24.271937961539521</v>
      </c>
      <c r="D50" s="14">
        <f>D18/D19*100</f>
        <v>20.107856348555863</v>
      </c>
      <c r="E50" s="14">
        <f>E18/E19*100</f>
        <v>27.86970882956879</v>
      </c>
      <c r="F50" s="14">
        <f>F18/F19*100</f>
        <v>0</v>
      </c>
    </row>
    <row r="51" spans="1:7" x14ac:dyDescent="0.25">
      <c r="A51" s="7" t="s">
        <v>26</v>
      </c>
      <c r="B51" s="14">
        <f>(B49+B50)/2</f>
        <v>57.354333309647707</v>
      </c>
      <c r="C51" s="14">
        <f>(C49+C50)/2</f>
        <v>59.835796467831294</v>
      </c>
      <c r="D51" s="14">
        <f>(D49+D50)/2</f>
        <v>48.284168724106109</v>
      </c>
      <c r="E51" s="14">
        <f>(E49+E50)/2</f>
        <v>69.479002258726894</v>
      </c>
      <c r="F51" s="14">
        <f>(F49+F50)/2</f>
        <v>0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27</v>
      </c>
      <c r="B53" s="7"/>
      <c r="C53" s="7"/>
      <c r="D53" s="7"/>
      <c r="E53" s="7"/>
      <c r="F53" s="7"/>
    </row>
    <row r="54" spans="1:7" x14ac:dyDescent="0.25">
      <c r="A54" s="7" t="s">
        <v>28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 t="e">
        <f>F20/F18*100</f>
        <v>#DIV/0!</v>
      </c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29</v>
      </c>
      <c r="B56" s="7"/>
      <c r="C56" s="7"/>
      <c r="D56" s="7"/>
      <c r="E56" s="7"/>
      <c r="F56" s="7"/>
    </row>
    <row r="57" spans="1:7" x14ac:dyDescent="0.25">
      <c r="A57" s="7" t="s">
        <v>30</v>
      </c>
      <c r="B57" s="14">
        <f>((B12/B10)-1)*100</f>
        <v>-28.089516767890153</v>
      </c>
      <c r="C57" s="14">
        <f>((C12/C10)-1)*100</f>
        <v>6.6195372750642578</v>
      </c>
      <c r="D57" s="14">
        <f>((D12/D10)-1)*100</f>
        <v>21.529358215748751</v>
      </c>
      <c r="E57" s="14">
        <f>((E12/E10)-1)*100</f>
        <v>-60.811300253531329</v>
      </c>
      <c r="F57" s="14" t="e">
        <f>((F12/F10)-1)*100</f>
        <v>#DIV/0!</v>
      </c>
    </row>
    <row r="58" spans="1:7" x14ac:dyDescent="0.25">
      <c r="A58" s="7" t="s">
        <v>31</v>
      </c>
      <c r="B58" s="14">
        <f>((B33/B32)-1)*100</f>
        <v>-49.738821748418808</v>
      </c>
      <c r="C58" s="14">
        <f>((C33/C32)-1)*100</f>
        <v>-41.451549256557044</v>
      </c>
      <c r="D58" s="14">
        <f>((D33/D32)-1)*100</f>
        <v>-22.773349611615966</v>
      </c>
      <c r="E58" s="14">
        <f>((E33/E32)-1)*100</f>
        <v>-54.952636589292972</v>
      </c>
      <c r="F58" s="14" t="e">
        <f>((F33/F32)-1)*100</f>
        <v>#DIV/0!</v>
      </c>
      <c r="G58" s="14"/>
    </row>
    <row r="59" spans="1:7" x14ac:dyDescent="0.25">
      <c r="A59" s="7" t="s">
        <v>32</v>
      </c>
      <c r="B59" s="14">
        <f>((B35/B34)-1)*100</f>
        <v>-30.105909468929404</v>
      </c>
      <c r="C59" s="14">
        <f>((C35/C34)-1)*100</f>
        <v>-45.086564583003472</v>
      </c>
      <c r="D59" s="14">
        <f>((D35/D34)-1)*100</f>
        <v>-36.454325504389629</v>
      </c>
      <c r="E59" s="14">
        <f>((E35/E34)-1)*100</f>
        <v>14.949880200519505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33</v>
      </c>
      <c r="B61" s="7"/>
      <c r="C61" s="7"/>
      <c r="D61" s="7"/>
      <c r="E61" s="7"/>
      <c r="F61" s="7"/>
    </row>
    <row r="62" spans="1:7" x14ac:dyDescent="0.25">
      <c r="A62" s="7" t="s">
        <v>34</v>
      </c>
      <c r="B62" s="5">
        <f>B17/(B11*3)</f>
        <v>114972.00380448801</v>
      </c>
      <c r="C62" s="5">
        <f t="shared" ref="C62:E63" si="5">C17/(C11*3)</f>
        <v>72267.366302472685</v>
      </c>
      <c r="D62" s="5">
        <f t="shared" si="5"/>
        <v>29058</v>
      </c>
      <c r="E62" s="5">
        <f t="shared" si="5"/>
        <v>208333.33</v>
      </c>
      <c r="F62" s="5">
        <f>F17/(F11*3)</f>
        <v>16666666.666000001</v>
      </c>
    </row>
    <row r="63" spans="1:7" x14ac:dyDescent="0.25">
      <c r="A63" s="7" t="s">
        <v>35</v>
      </c>
      <c r="B63" s="5">
        <f>$B$18/(B12*3)</f>
        <v>102801.3425135408</v>
      </c>
      <c r="C63" s="5">
        <f>C18/(C12*3)</f>
        <v>73068.288125376726</v>
      </c>
      <c r="D63" s="5">
        <f t="shared" si="5"/>
        <v>29036.233707865169</v>
      </c>
      <c r="E63" s="5">
        <f t="shared" si="5"/>
        <v>209065.74553296366</v>
      </c>
      <c r="F63" s="5" t="e">
        <f>$B$18/(F12*3)</f>
        <v>#DIV/0!</v>
      </c>
    </row>
    <row r="64" spans="1:7" x14ac:dyDescent="0.25">
      <c r="A64" s="7" t="s">
        <v>36</v>
      </c>
      <c r="B64" s="14">
        <f>(B62/B63)*B46</f>
        <v>99.19879359807662</v>
      </c>
      <c r="C64" s="14">
        <f>(C62/C63)*C46</f>
        <v>94.876803902019233</v>
      </c>
      <c r="D64" s="14">
        <f>(D62/D63)*D46</f>
        <v>76.489139450893106</v>
      </c>
      <c r="E64" s="14">
        <f>E62/E63*E46</f>
        <v>110.8937090685303</v>
      </c>
      <c r="F64" s="14" t="e">
        <f>(F62/F63)*F46</f>
        <v>#DIV/0!</v>
      </c>
      <c r="G64" s="11"/>
    </row>
    <row r="65" spans="1:7" x14ac:dyDescent="0.25">
      <c r="A65" s="7"/>
      <c r="B65" s="14"/>
      <c r="C65" s="14"/>
      <c r="D65" s="14"/>
      <c r="E65" s="14"/>
      <c r="F65" s="14"/>
    </row>
    <row r="66" spans="1:7" x14ac:dyDescent="0.25">
      <c r="A66" s="7" t="s">
        <v>37</v>
      </c>
      <c r="B66" s="14"/>
      <c r="C66" s="14"/>
      <c r="D66" s="14"/>
      <c r="E66" s="14"/>
      <c r="F66" s="14"/>
    </row>
    <row r="67" spans="1:7" x14ac:dyDescent="0.25">
      <c r="A67" s="7" t="s">
        <v>38</v>
      </c>
      <c r="B67" s="14">
        <f>(B24/B23)*100</f>
        <v>78.114004778207715</v>
      </c>
      <c r="C67" s="14"/>
      <c r="D67" s="14"/>
      <c r="E67" s="14"/>
      <c r="F67" s="14"/>
      <c r="G67" s="11"/>
    </row>
    <row r="68" spans="1:7" x14ac:dyDescent="0.25">
      <c r="A68" s="7" t="s">
        <v>39</v>
      </c>
      <c r="B68" s="14">
        <f>(B18/B24)*100</f>
        <v>107.20331860195607</v>
      </c>
      <c r="C68" s="14"/>
      <c r="D68" s="14"/>
      <c r="E68" s="14"/>
      <c r="F68" s="14"/>
      <c r="G68" s="11"/>
    </row>
    <row r="69" spans="1:7" ht="15.75" thickBot="1" x14ac:dyDescent="0.3">
      <c r="A69" s="21"/>
      <c r="B69" s="15"/>
      <c r="C69" s="15"/>
      <c r="D69" s="15"/>
      <c r="E69" s="15"/>
      <c r="F69" s="15"/>
    </row>
    <row r="70" spans="1:7" ht="15.75" thickTop="1" x14ac:dyDescent="0.25"/>
    <row r="71" spans="1:7" x14ac:dyDescent="0.25">
      <c r="A71" t="s">
        <v>46</v>
      </c>
    </row>
    <row r="72" spans="1:7" x14ac:dyDescent="0.25">
      <c r="A72" t="s">
        <v>127</v>
      </c>
    </row>
    <row r="73" spans="1:7" x14ac:dyDescent="0.25">
      <c r="A73" t="s">
        <v>82</v>
      </c>
      <c r="B73" s="16"/>
      <c r="C73" s="16"/>
      <c r="D73" s="16"/>
    </row>
    <row r="74" spans="1:7" x14ac:dyDescent="0.25">
      <c r="A74" t="s">
        <v>83</v>
      </c>
    </row>
    <row r="75" spans="1:7" x14ac:dyDescent="0.25">
      <c r="A75" t="s">
        <v>84</v>
      </c>
    </row>
    <row r="77" spans="1:7" x14ac:dyDescent="0.25">
      <c r="A77" t="s">
        <v>67</v>
      </c>
    </row>
    <row r="78" spans="1:7" x14ac:dyDescent="0.25">
      <c r="A78" t="s">
        <v>68</v>
      </c>
    </row>
    <row r="79" spans="1:7" x14ac:dyDescent="0.25">
      <c r="A79" t="s">
        <v>69</v>
      </c>
    </row>
    <row r="80" spans="1:7" x14ac:dyDescent="0.25">
      <c r="A80" t="s">
        <v>70</v>
      </c>
    </row>
    <row r="81" spans="1:1" x14ac:dyDescent="0.25">
      <c r="A81" t="s">
        <v>130</v>
      </c>
    </row>
    <row r="82" spans="1:1" x14ac:dyDescent="0.25">
      <c r="A82" t="s">
        <v>72</v>
      </c>
    </row>
    <row r="85" spans="1:1" x14ac:dyDescent="0.25">
      <c r="A85" t="s">
        <v>131</v>
      </c>
    </row>
  </sheetData>
  <mergeCells count="3">
    <mergeCell ref="A4:A5"/>
    <mergeCell ref="A2:E2"/>
    <mergeCell ref="C4:F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3" sqref="C63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6" t="s">
        <v>106</v>
      </c>
      <c r="B2" s="26"/>
      <c r="C2" s="26"/>
      <c r="D2" s="26"/>
      <c r="E2" s="26"/>
    </row>
    <row r="4" spans="1:7" x14ac:dyDescent="0.25">
      <c r="A4" s="27" t="s">
        <v>0</v>
      </c>
      <c r="B4" s="18" t="s">
        <v>40</v>
      </c>
      <c r="C4" s="31" t="s">
        <v>2</v>
      </c>
      <c r="D4" s="31"/>
      <c r="E4" s="31"/>
      <c r="F4" s="31"/>
    </row>
    <row r="5" spans="1:7" ht="15.75" thickBot="1" x14ac:dyDescent="0.3">
      <c r="A5" s="28"/>
      <c r="B5" s="1" t="s">
        <v>41</v>
      </c>
      <c r="C5" s="1" t="s">
        <v>128</v>
      </c>
      <c r="D5" s="1" t="s">
        <v>129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71</v>
      </c>
    </row>
    <row r="10" spans="1:7" x14ac:dyDescent="0.25">
      <c r="A10" s="4" t="s">
        <v>55</v>
      </c>
      <c r="B10" s="5">
        <f t="shared" ref="B10" si="0">SUM(C10:E10)</f>
        <v>2261.1666666666665</v>
      </c>
      <c r="C10" s="5">
        <f>(+'I Trimestre'!C10+'II Trimestre'!C10)/2</f>
        <v>1368</v>
      </c>
      <c r="D10" s="5">
        <f>(+'I Trimestre'!D10+'II Trimestre'!D10)/2</f>
        <v>522.5</v>
      </c>
      <c r="E10" s="5">
        <f>(+'I Trimestre'!E10+'II Trimestre'!E10)/2</f>
        <v>370.66666666666669</v>
      </c>
      <c r="F10" s="5">
        <f>+'I Trimestre'!F10+'II Trimestre'!F10/2</f>
        <v>0</v>
      </c>
      <c r="G10" s="3"/>
    </row>
    <row r="11" spans="1:7" x14ac:dyDescent="0.25">
      <c r="A11" s="6" t="s">
        <v>107</v>
      </c>
      <c r="B11" s="5">
        <f>SUM(C11:E11)</f>
        <v>3733.5</v>
      </c>
      <c r="C11" s="5">
        <f>(+'I Trimestre'!C11+'II Trimestre'!C11)/2</f>
        <v>1712</v>
      </c>
      <c r="D11" s="5">
        <f>(+'I Trimestre'!D11+'II Trimestre'!D11)/2</f>
        <v>1047.5</v>
      </c>
      <c r="E11" s="5">
        <f>(+'I Trimestre'!E11+'II Trimestre'!E11)/2</f>
        <v>974</v>
      </c>
      <c r="F11" s="5">
        <f>+'I Trimestre'!F11+'II Trimestre'!F11</f>
        <v>9</v>
      </c>
      <c r="G11" s="19"/>
    </row>
    <row r="12" spans="1:7" x14ac:dyDescent="0.25">
      <c r="A12" s="6" t="s">
        <v>108</v>
      </c>
      <c r="B12" s="3">
        <f>SUM(C12:E12)</f>
        <v>3213</v>
      </c>
      <c r="C12" s="5">
        <f>(+'I Trimestre'!C12+'II Trimestre'!C12)/2</f>
        <v>1567</v>
      </c>
      <c r="D12" s="5">
        <f>(+'I Trimestre'!D12+'II Trimestre'!D12)/2</f>
        <v>840.5</v>
      </c>
      <c r="E12" s="5">
        <f>(+'I Trimestre'!E12+'II Trimestre'!E12)/2</f>
        <v>805.5</v>
      </c>
      <c r="F12" s="5">
        <f>+'I Trimestre'!F12+'II Trimestre'!F12/2</f>
        <v>0</v>
      </c>
    </row>
    <row r="13" spans="1:7" x14ac:dyDescent="0.25">
      <c r="A13" s="6" t="s">
        <v>77</v>
      </c>
      <c r="B13" s="5">
        <f>SUM(C13:E13)</f>
        <v>3877</v>
      </c>
      <c r="C13" s="5">
        <f>+'II Trimestre'!C13</f>
        <v>1739</v>
      </c>
      <c r="D13" s="5">
        <f>+'II Trimestre'!D13</f>
        <v>1164</v>
      </c>
      <c r="E13" s="5">
        <f>+'II Trimestre'!E13</f>
        <v>974</v>
      </c>
      <c r="F13" s="5">
        <f>+'II Trimestre'!F13</f>
        <v>5</v>
      </c>
      <c r="G13" s="19"/>
    </row>
    <row r="14" spans="1:7" x14ac:dyDescent="0.25">
      <c r="F14" s="7"/>
      <c r="G14" s="19"/>
    </row>
    <row r="15" spans="1:7" x14ac:dyDescent="0.25">
      <c r="A15" s="8" t="s">
        <v>7</v>
      </c>
      <c r="F15" s="7"/>
      <c r="G15" s="20"/>
    </row>
    <row r="16" spans="1:7" x14ac:dyDescent="0.25">
      <c r="A16" s="4" t="s">
        <v>55</v>
      </c>
      <c r="B16" s="5">
        <f t="shared" ref="B16" si="1">SUM(C16:E16)</f>
        <v>863522925.64999998</v>
      </c>
      <c r="C16" s="5">
        <f>+'I Trimestre'!C16+'II Trimestre'!C16</f>
        <v>531562199.00999999</v>
      </c>
      <c r="D16" s="5">
        <f>+'I Trimestre'!D16+'II Trimestre'!D16</f>
        <v>81155876.520000011</v>
      </c>
      <c r="E16" s="5">
        <f>+'I Trimestre'!E16+'II Trimestre'!E16</f>
        <v>250804850.12</v>
      </c>
      <c r="F16" s="5">
        <f>+'I Trimestre'!F16+'II Trimestre'!F16</f>
        <v>0</v>
      </c>
    </row>
    <row r="17" spans="1:7" x14ac:dyDescent="0.25">
      <c r="A17" s="6" t="s">
        <v>107</v>
      </c>
      <c r="B17" s="5">
        <f>SUM(C17:F17)</f>
        <v>2644368835.5</v>
      </c>
      <c r="C17" s="5">
        <f>+'I Trimestre'!C17+'II Trimestre'!C17</f>
        <v>744239325</v>
      </c>
      <c r="D17" s="5">
        <f>+'I Trimestre'!D17+'II Trimestre'!D17</f>
        <v>182629530</v>
      </c>
      <c r="E17" s="5">
        <f>+'I Trimestre'!E17+'II Trimestre'!E17</f>
        <v>1217499980.52</v>
      </c>
      <c r="F17" s="5">
        <f>+'I Trimestre'!F17+'II Trimestre'!F17</f>
        <v>499999999.98000002</v>
      </c>
      <c r="G17" s="19"/>
    </row>
    <row r="18" spans="1:7" x14ac:dyDescent="0.25">
      <c r="A18" s="6" t="s">
        <v>108</v>
      </c>
      <c r="B18" s="3">
        <f>SUM(C18:E18)</f>
        <v>1850081431</v>
      </c>
      <c r="C18" s="5">
        <f>+'I Trimestre'!C18+'II Trimestre'!C18</f>
        <v>681337455</v>
      </c>
      <c r="D18" s="5">
        <f>+'I Trimestre'!D18+'II Trimestre'!D18</f>
        <v>146452320</v>
      </c>
      <c r="E18" s="5">
        <f>+'I Trimestre'!E18+'II Trimestre'!E18</f>
        <v>1022291656</v>
      </c>
      <c r="F18" s="5">
        <f>+'I Trimestre'!F18+'II Trimestre'!F18</f>
        <v>0</v>
      </c>
    </row>
    <row r="19" spans="1:7" x14ac:dyDescent="0.25">
      <c r="A19" s="6" t="s">
        <v>77</v>
      </c>
      <c r="B19" s="3">
        <f>SUM(C19:E19)</f>
        <v>4318831520</v>
      </c>
      <c r="C19" s="5">
        <f>+'II Trimestre'!C19</f>
        <v>1498277025</v>
      </c>
      <c r="D19" s="5">
        <f>+'II Trimestre'!D19</f>
        <v>385554495</v>
      </c>
      <c r="E19" s="5">
        <f>+'II Trimestre'!E19</f>
        <v>2435000000</v>
      </c>
      <c r="F19" s="5">
        <f>+'II Trimestre'!F19</f>
        <v>1000000000</v>
      </c>
    </row>
    <row r="20" spans="1:7" x14ac:dyDescent="0.25">
      <c r="A20" s="6" t="s">
        <v>109</v>
      </c>
      <c r="B20" s="5">
        <f>SUM(C20:E20)</f>
        <v>1850081431</v>
      </c>
      <c r="C20" s="5">
        <f>+C18</f>
        <v>681337455</v>
      </c>
      <c r="D20" s="5">
        <f t="shared" ref="D20:F20" si="2">+D18</f>
        <v>146452320</v>
      </c>
      <c r="E20" s="5">
        <f t="shared" si="2"/>
        <v>1022291656</v>
      </c>
      <c r="F20" s="5">
        <f t="shared" si="2"/>
        <v>0</v>
      </c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8</v>
      </c>
      <c r="B22" s="5"/>
      <c r="C22" s="5"/>
      <c r="D22" s="5"/>
      <c r="E22" s="5"/>
      <c r="F22" s="5"/>
    </row>
    <row r="23" spans="1:7" x14ac:dyDescent="0.25">
      <c r="A23" s="4" t="s">
        <v>107</v>
      </c>
      <c r="B23" s="5">
        <f>B17</f>
        <v>2644368835.5</v>
      </c>
      <c r="C23" s="5"/>
      <c r="D23" s="5"/>
      <c r="E23" s="5"/>
      <c r="F23" s="5"/>
      <c r="G23" s="11"/>
    </row>
    <row r="24" spans="1:7" x14ac:dyDescent="0.25">
      <c r="A24" s="4" t="s">
        <v>108</v>
      </c>
      <c r="B24" s="5">
        <f>'I Trimestre'!B24+'II Trimestre'!B24</f>
        <v>2083215630.26</v>
      </c>
      <c r="C24" s="32"/>
      <c r="D24" s="32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9</v>
      </c>
      <c r="B26" s="7"/>
      <c r="C26" s="7"/>
      <c r="D26" s="7"/>
      <c r="E26" s="7"/>
      <c r="F26" s="7"/>
    </row>
    <row r="27" spans="1:7" x14ac:dyDescent="0.25">
      <c r="A27" s="4" t="s">
        <v>56</v>
      </c>
      <c r="B27" s="17">
        <v>1.45394391315</v>
      </c>
      <c r="C27" s="17">
        <v>1.45394391315</v>
      </c>
      <c r="D27" s="17">
        <v>1.45394391315</v>
      </c>
      <c r="E27" s="17">
        <v>1.45394391315</v>
      </c>
      <c r="F27" s="17">
        <v>1.45394391315</v>
      </c>
    </row>
    <row r="28" spans="1:7" x14ac:dyDescent="0.25">
      <c r="A28" s="4" t="s">
        <v>110</v>
      </c>
      <c r="B28" s="17">
        <v>1.5189901056499999</v>
      </c>
      <c r="C28" s="17">
        <v>1.5189901056499999</v>
      </c>
      <c r="D28" s="17">
        <v>1.5189901056499999</v>
      </c>
      <c r="E28" s="17">
        <v>1.5189901056499999</v>
      </c>
      <c r="F28" s="17">
        <v>1.5189901056499999</v>
      </c>
    </row>
    <row r="29" spans="1:7" x14ac:dyDescent="0.25">
      <c r="A29" s="4" t="s">
        <v>11</v>
      </c>
      <c r="B29" s="5">
        <v>17069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12</v>
      </c>
      <c r="B31" s="7"/>
      <c r="C31" s="7"/>
      <c r="D31" s="7"/>
      <c r="E31" s="7"/>
      <c r="F31" s="7"/>
    </row>
    <row r="32" spans="1:7" x14ac:dyDescent="0.25">
      <c r="A32" s="7" t="s">
        <v>57</v>
      </c>
      <c r="B32" s="5">
        <f>B16/B27</f>
        <v>593917631.78756976</v>
      </c>
      <c r="C32" s="5">
        <f>C16/C27</f>
        <v>365600209.33569527</v>
      </c>
      <c r="D32" s="5">
        <f>D16/D27</f>
        <v>55817749.079587325</v>
      </c>
      <c r="E32" s="5">
        <f>E16/E27</f>
        <v>172499673.37228712</v>
      </c>
      <c r="F32" s="5">
        <f>F16/F27</f>
        <v>0</v>
      </c>
    </row>
    <row r="33" spans="1:6" x14ac:dyDescent="0.25">
      <c r="A33" s="7" t="s">
        <v>111</v>
      </c>
      <c r="B33" s="5">
        <f>B18/B28</f>
        <v>1217968059.2509987</v>
      </c>
      <c r="C33" s="5">
        <f>C18/C28</f>
        <v>448546341.7211957</v>
      </c>
      <c r="D33" s="5">
        <f>D18/D28</f>
        <v>96414268.569136426</v>
      </c>
      <c r="E33" s="5">
        <f>E18/E28</f>
        <v>673007448.96066666</v>
      </c>
      <c r="F33" s="5">
        <f>F18/F28</f>
        <v>0</v>
      </c>
    </row>
    <row r="34" spans="1:6" x14ac:dyDescent="0.25">
      <c r="A34" s="7" t="s">
        <v>58</v>
      </c>
      <c r="B34" s="5">
        <f>B32/(B10*6)</f>
        <v>43776.636823731831</v>
      </c>
      <c r="C34" s="5">
        <f t="shared" ref="C34:F35" si="3">C32/(C10*6)</f>
        <v>44541.935835245524</v>
      </c>
      <c r="D34" s="5">
        <f t="shared" si="3"/>
        <v>17804.704650586067</v>
      </c>
      <c r="E34" s="5">
        <f t="shared" si="3"/>
        <v>77562.802775308955</v>
      </c>
      <c r="F34" s="5" t="e">
        <f t="shared" si="3"/>
        <v>#DIV/0!</v>
      </c>
    </row>
    <row r="35" spans="1:6" x14ac:dyDescent="0.25">
      <c r="A35" s="7" t="s">
        <v>112</v>
      </c>
      <c r="B35" s="5">
        <f>B33/(B11*6)</f>
        <v>54371.146790366445</v>
      </c>
      <c r="C35" s="5">
        <f t="shared" si="3"/>
        <v>43666.894637966871</v>
      </c>
      <c r="D35" s="5">
        <f t="shared" si="3"/>
        <v>15340.376860642231</v>
      </c>
      <c r="E35" s="5">
        <f t="shared" si="3"/>
        <v>115162.12336767055</v>
      </c>
      <c r="F35" s="5">
        <f t="shared" si="3"/>
        <v>0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15</v>
      </c>
      <c r="F37" s="7"/>
    </row>
    <row r="38" spans="1:6" x14ac:dyDescent="0.25">
      <c r="F38" s="7"/>
    </row>
    <row r="39" spans="1:6" x14ac:dyDescent="0.25">
      <c r="A39" t="s">
        <v>16</v>
      </c>
      <c r="F39" s="7"/>
    </row>
    <row r="40" spans="1:6" x14ac:dyDescent="0.25">
      <c r="A40" t="s">
        <v>17</v>
      </c>
      <c r="B40" s="14">
        <f>(B11/(B29))*100</f>
        <v>21.872986115179565</v>
      </c>
      <c r="C40" s="14" t="e">
        <f t="shared" ref="C40:E40" si="4">(C11/(C29))*100</f>
        <v>#DIV/0!</v>
      </c>
      <c r="D40" s="14" t="e">
        <f t="shared" si="4"/>
        <v>#DIV/0!</v>
      </c>
      <c r="E40" s="14" t="e">
        <f t="shared" si="4"/>
        <v>#DIV/0!</v>
      </c>
      <c r="F40" s="14" t="e">
        <f>(F11/(F29))*100</f>
        <v>#DIV/0!</v>
      </c>
    </row>
    <row r="41" spans="1:6" x14ac:dyDescent="0.25">
      <c r="A41" t="s">
        <v>18</v>
      </c>
      <c r="B41" s="14">
        <f>(B12/(B29))*100</f>
        <v>18.823598336164977</v>
      </c>
      <c r="C41" s="14" t="e">
        <f t="shared" ref="C41:E41" si="5">(C12/(C29))*100</f>
        <v>#DIV/0!</v>
      </c>
      <c r="D41" s="14" t="e">
        <f t="shared" si="5"/>
        <v>#DIV/0!</v>
      </c>
      <c r="E41" s="14" t="e">
        <f t="shared" si="5"/>
        <v>#DIV/0!</v>
      </c>
      <c r="F41" s="14" t="e">
        <f>(F12/(F29))*100</f>
        <v>#DIV/0!</v>
      </c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19</v>
      </c>
      <c r="B43" s="7"/>
      <c r="C43" s="7"/>
      <c r="D43" s="7"/>
      <c r="E43" s="7"/>
      <c r="F43" s="7"/>
    </row>
    <row r="44" spans="1:6" x14ac:dyDescent="0.25">
      <c r="A44" t="s">
        <v>20</v>
      </c>
      <c r="B44" s="14">
        <f>B12/B11*100</f>
        <v>86.058658095620729</v>
      </c>
      <c r="C44" s="14">
        <f>C12/C11*100</f>
        <v>91.530373831775705</v>
      </c>
      <c r="D44" s="14">
        <f>D12/D11*100</f>
        <v>80.238663484486878</v>
      </c>
      <c r="E44" s="14">
        <f>E12/E11*100</f>
        <v>82.700205338809027</v>
      </c>
      <c r="F44" s="14">
        <f>F12/F11*100</f>
        <v>0</v>
      </c>
    </row>
    <row r="45" spans="1:6" x14ac:dyDescent="0.25">
      <c r="A45" t="s">
        <v>21</v>
      </c>
      <c r="B45" s="14">
        <f>B18/B17*100</f>
        <v>69.963062873949838</v>
      </c>
      <c r="C45" s="14">
        <f>C18/C17*100</f>
        <v>91.548166310615215</v>
      </c>
      <c r="D45" s="14">
        <f>D18/D17*100</f>
        <v>80.190930787589494</v>
      </c>
      <c r="E45" s="14">
        <f>E18/E17*100</f>
        <v>83.966461795208772</v>
      </c>
      <c r="F45" s="14">
        <f>F18/F17*100</f>
        <v>0</v>
      </c>
    </row>
    <row r="46" spans="1:6" x14ac:dyDescent="0.25">
      <c r="A46" s="7" t="s">
        <v>22</v>
      </c>
      <c r="B46" s="14">
        <f>AVERAGE(B44:B45)</f>
        <v>78.010860484785283</v>
      </c>
      <c r="C46" s="14">
        <f>AVERAGE(C44:C45)</f>
        <v>91.53927007119546</v>
      </c>
      <c r="D46" s="14">
        <f>AVERAGE(D44:D45)</f>
        <v>80.214797136038186</v>
      </c>
      <c r="E46" s="14">
        <f>AVERAGE(E44:E45)</f>
        <v>83.333333567008907</v>
      </c>
      <c r="F46" s="14">
        <f>AVERAGE(F44:F45)</f>
        <v>0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23</v>
      </c>
      <c r="B48" s="7"/>
      <c r="C48" s="7"/>
      <c r="D48" s="7"/>
      <c r="E48" s="7"/>
      <c r="F48" s="7"/>
    </row>
    <row r="49" spans="1:7" x14ac:dyDescent="0.25">
      <c r="A49" s="7" t="s">
        <v>24</v>
      </c>
      <c r="B49" s="14">
        <f>(B12/B13)*100</f>
        <v>82.873355687387146</v>
      </c>
      <c r="C49" s="14">
        <f t="shared" ref="C49:E49" si="6">(C12/C13)*100</f>
        <v>90.109258194364571</v>
      </c>
      <c r="D49" s="14">
        <f t="shared" si="6"/>
        <v>72.207903780068733</v>
      </c>
      <c r="E49" s="14">
        <f t="shared" si="6"/>
        <v>82.700205338809027</v>
      </c>
      <c r="F49" s="14">
        <f t="shared" ref="F49" si="7">(F12/(F13*2))*100</f>
        <v>0</v>
      </c>
    </row>
    <row r="50" spans="1:7" x14ac:dyDescent="0.25">
      <c r="A50" s="7" t="s">
        <v>25</v>
      </c>
      <c r="B50" s="14">
        <f>B18/B19*100</f>
        <v>42.837545813780672</v>
      </c>
      <c r="C50" s="14">
        <f>C18/C19*100</f>
        <v>45.474731550395362</v>
      </c>
      <c r="D50" s="14">
        <f>D18/D19*100</f>
        <v>37.984856070735212</v>
      </c>
      <c r="E50" s="14">
        <f>E18/E19*100</f>
        <v>41.983230225872688</v>
      </c>
      <c r="F50" s="14">
        <f>F18/F19*100</f>
        <v>0</v>
      </c>
    </row>
    <row r="51" spans="1:7" x14ac:dyDescent="0.25">
      <c r="A51" s="7" t="s">
        <v>26</v>
      </c>
      <c r="B51" s="14">
        <f>(B49+B50)/2</f>
        <v>62.855450750583913</v>
      </c>
      <c r="C51" s="14">
        <f>(C49+C50)/2</f>
        <v>67.791994872379973</v>
      </c>
      <c r="D51" s="14">
        <f>(D49+D50)/2</f>
        <v>55.096379925401976</v>
      </c>
      <c r="E51" s="14">
        <f>(E49+E50)/2</f>
        <v>62.341717782340858</v>
      </c>
      <c r="F51" s="14">
        <f>(F49+F50)/2</f>
        <v>0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27</v>
      </c>
      <c r="B53" s="7"/>
      <c r="C53" s="7"/>
      <c r="D53" s="7"/>
      <c r="E53" s="7"/>
      <c r="F53" s="7"/>
    </row>
    <row r="54" spans="1:7" x14ac:dyDescent="0.25">
      <c r="A54" s="7" t="s">
        <v>28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 t="e">
        <f>F20/F18*100</f>
        <v>#DIV/0!</v>
      </c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29</v>
      </c>
      <c r="B56" s="7"/>
      <c r="C56" s="7"/>
      <c r="D56" s="7"/>
      <c r="E56" s="7"/>
      <c r="F56" s="7"/>
    </row>
    <row r="57" spans="1:7" x14ac:dyDescent="0.25">
      <c r="A57" s="7" t="s">
        <v>30</v>
      </c>
      <c r="B57" s="14">
        <f>((B12/B10)-1)*100</f>
        <v>42.094788825827379</v>
      </c>
      <c r="C57" s="14">
        <f>((C12/C10)-1)*100</f>
        <v>14.546783625730985</v>
      </c>
      <c r="D57" s="14">
        <f>((D12/D10)-1)*100</f>
        <v>60.861244019138752</v>
      </c>
      <c r="E57" s="14">
        <f>((E12/E10)-1)*100</f>
        <v>117.31115107913669</v>
      </c>
      <c r="F57" s="14" t="e">
        <f>((F12/F10)-1)*100</f>
        <v>#DIV/0!</v>
      </c>
    </row>
    <row r="58" spans="1:7" x14ac:dyDescent="0.25">
      <c r="A58" s="7" t="s">
        <v>31</v>
      </c>
      <c r="B58" s="14">
        <f>((B33/B32)-1)*100</f>
        <v>105.07356476102009</v>
      </c>
      <c r="C58" s="14">
        <f>((C33/C32)-1)*100</f>
        <v>22.687659981435914</v>
      </c>
      <c r="D58" s="14">
        <f>((D33/D32)-1)*100</f>
        <v>72.730484763305043</v>
      </c>
      <c r="E58" s="14">
        <f>((E33/E32)-1)*100</f>
        <v>290.14998452094949</v>
      </c>
      <c r="F58" s="14" t="e">
        <f>((F33/F32)-1)*100</f>
        <v>#DIV/0!</v>
      </c>
      <c r="G58" s="14"/>
    </row>
    <row r="59" spans="1:7" x14ac:dyDescent="0.25">
      <c r="A59" s="7" t="s">
        <v>32</v>
      </c>
      <c r="B59" s="14">
        <f>((B35/B34)-1)*100</f>
        <v>24.201288027889809</v>
      </c>
      <c r="C59" s="14">
        <f>((C35/C34)-1)*100</f>
        <v>-1.9645333793199105</v>
      </c>
      <c r="D59" s="14">
        <f>((D35/D34)-1)*100</f>
        <v>-13.840879915201064</v>
      </c>
      <c r="E59" s="14">
        <f>((E35/E34)-1)*100</f>
        <v>48.475969468615965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33</v>
      </c>
      <c r="B61" s="7"/>
      <c r="C61" s="7"/>
      <c r="D61" s="7"/>
      <c r="E61" s="7"/>
      <c r="F61" s="7"/>
    </row>
    <row r="62" spans="1:7" x14ac:dyDescent="0.25">
      <c r="A62" s="7" t="s">
        <v>34</v>
      </c>
      <c r="B62" s="5">
        <f>B17/(B11*6)</f>
        <v>118046.91020490156</v>
      </c>
      <c r="C62" s="5">
        <f t="shared" ref="C62:F62" si="8">C17/(C11*6)</f>
        <v>72453.205315420564</v>
      </c>
      <c r="D62" s="5">
        <f t="shared" si="8"/>
        <v>29058</v>
      </c>
      <c r="E62" s="5">
        <f t="shared" si="8"/>
        <v>208333.33</v>
      </c>
      <c r="F62" s="5">
        <f t="shared" si="8"/>
        <v>9259259.2588888891</v>
      </c>
    </row>
    <row r="63" spans="1:7" x14ac:dyDescent="0.25">
      <c r="A63" s="7" t="s">
        <v>35</v>
      </c>
      <c r="B63" s="5">
        <f>B18/(B12*6)</f>
        <v>95968.53568834941</v>
      </c>
      <c r="C63" s="5">
        <f t="shared" ref="C63:F63" si="9">C18/(C12*6)</f>
        <v>72467.289406509255</v>
      </c>
      <c r="D63" s="5">
        <f t="shared" si="9"/>
        <v>29040.713860797143</v>
      </c>
      <c r="E63" s="5">
        <f t="shared" si="9"/>
        <v>211523.20629008897</v>
      </c>
      <c r="F63" s="5" t="e">
        <f t="shared" si="9"/>
        <v>#DIV/0!</v>
      </c>
    </row>
    <row r="64" spans="1:7" x14ac:dyDescent="0.25">
      <c r="A64" s="7" t="s">
        <v>36</v>
      </c>
      <c r="B64" s="14">
        <f>(B62/B63)*B46</f>
        <v>95.957919714018502</v>
      </c>
      <c r="C64" s="14">
        <f>(C62/C63)*C46</f>
        <v>91.521479321349105</v>
      </c>
      <c r="D64" s="14">
        <f>(D62/D63)*D46</f>
        <v>80.262544039095346</v>
      </c>
      <c r="E64" s="14">
        <f>E62/E63*E46</f>
        <v>82.076625002583498</v>
      </c>
      <c r="F64" s="14" t="e">
        <f>(F62/F63)*F46</f>
        <v>#DIV/0!</v>
      </c>
    </row>
    <row r="65" spans="1:7" x14ac:dyDescent="0.25">
      <c r="A65" s="7"/>
      <c r="B65" s="14"/>
      <c r="C65" s="14"/>
      <c r="D65" s="14"/>
      <c r="E65" s="14"/>
      <c r="F65" s="14"/>
    </row>
    <row r="66" spans="1:7" x14ac:dyDescent="0.25">
      <c r="A66" s="7" t="s">
        <v>37</v>
      </c>
      <c r="B66" s="14"/>
      <c r="C66" s="14"/>
      <c r="D66" s="14"/>
      <c r="E66" s="14"/>
      <c r="F66" s="14"/>
    </row>
    <row r="67" spans="1:7" x14ac:dyDescent="0.25">
      <c r="A67" s="7" t="s">
        <v>38</v>
      </c>
      <c r="B67" s="14">
        <f>(B24/B23)*100</f>
        <v>78.77931407651397</v>
      </c>
      <c r="C67" s="14"/>
      <c r="D67" s="14"/>
      <c r="E67" s="14"/>
      <c r="F67" s="14"/>
      <c r="G67" s="11"/>
    </row>
    <row r="68" spans="1:7" x14ac:dyDescent="0.25">
      <c r="A68" s="7" t="s">
        <v>39</v>
      </c>
      <c r="B68" s="14">
        <f>(B18/B24)*100</f>
        <v>88.808926168103724</v>
      </c>
      <c r="C68" s="14"/>
      <c r="D68" s="14"/>
      <c r="E68" s="14"/>
      <c r="F68" s="14"/>
      <c r="G68" s="11"/>
    </row>
    <row r="69" spans="1:7" ht="15.75" thickBot="1" x14ac:dyDescent="0.3">
      <c r="A69" s="21"/>
      <c r="B69" s="15"/>
      <c r="C69" s="15"/>
      <c r="D69" s="15"/>
      <c r="E69" s="15"/>
      <c r="F69" s="15"/>
    </row>
    <row r="70" spans="1:7" ht="15.75" thickTop="1" x14ac:dyDescent="0.25"/>
    <row r="71" spans="1:7" x14ac:dyDescent="0.25">
      <c r="A71" t="s">
        <v>46</v>
      </c>
    </row>
    <row r="72" spans="1:7" x14ac:dyDescent="0.25">
      <c r="A72" t="s">
        <v>127</v>
      </c>
    </row>
    <row r="73" spans="1:7" x14ac:dyDescent="0.25">
      <c r="A73" t="s">
        <v>82</v>
      </c>
      <c r="B73" s="16"/>
      <c r="C73" s="16"/>
      <c r="D73" s="16"/>
    </row>
    <row r="74" spans="1:7" x14ac:dyDescent="0.25">
      <c r="A74" t="s">
        <v>83</v>
      </c>
    </row>
    <row r="75" spans="1:7" x14ac:dyDescent="0.25">
      <c r="A75" t="s">
        <v>84</v>
      </c>
    </row>
    <row r="77" spans="1:7" x14ac:dyDescent="0.25">
      <c r="A77" t="s">
        <v>67</v>
      </c>
    </row>
    <row r="78" spans="1:7" x14ac:dyDescent="0.25">
      <c r="A78" t="s">
        <v>68</v>
      </c>
    </row>
    <row r="79" spans="1:7" x14ac:dyDescent="0.25">
      <c r="A79" t="s">
        <v>69</v>
      </c>
    </row>
    <row r="80" spans="1:7" x14ac:dyDescent="0.25">
      <c r="A80" t="s">
        <v>70</v>
      </c>
    </row>
    <row r="81" spans="1:1" x14ac:dyDescent="0.25">
      <c r="A81" t="s">
        <v>130</v>
      </c>
    </row>
    <row r="83" spans="1:1" x14ac:dyDescent="0.25">
      <c r="A83" t="s">
        <v>131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3" sqref="F13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6" t="s">
        <v>113</v>
      </c>
      <c r="B2" s="26"/>
      <c r="C2" s="26"/>
      <c r="D2" s="26"/>
      <c r="E2" s="26"/>
    </row>
    <row r="4" spans="1:7" x14ac:dyDescent="0.25">
      <c r="A4" s="27" t="s">
        <v>0</v>
      </c>
      <c r="B4" s="18" t="s">
        <v>40</v>
      </c>
      <c r="C4" s="31" t="s">
        <v>2</v>
      </c>
      <c r="D4" s="31"/>
      <c r="E4" s="31"/>
      <c r="F4" s="31"/>
    </row>
    <row r="5" spans="1:7" ht="15.75" thickBot="1" x14ac:dyDescent="0.3">
      <c r="A5" s="28"/>
      <c r="B5" s="1" t="s">
        <v>41</v>
      </c>
      <c r="C5" s="1" t="s">
        <v>128</v>
      </c>
      <c r="D5" s="1" t="s">
        <v>129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71</v>
      </c>
    </row>
    <row r="10" spans="1:7" x14ac:dyDescent="0.25">
      <c r="A10" s="4" t="s">
        <v>63</v>
      </c>
      <c r="B10" s="5">
        <f t="shared" ref="B10" si="0">SUM(C10:E10)</f>
        <v>2406</v>
      </c>
      <c r="C10" s="5">
        <f>(+'I Trimestre'!C10+'II Trimestre'!C10+'III Trimestre'!C10)/3</f>
        <v>1418.3333333333333</v>
      </c>
      <c r="D10" s="5">
        <f>(+'I Trimestre'!D10+'II Trimestre'!D10+'III Trimestre'!D10)/3</f>
        <v>533.66666666666663</v>
      </c>
      <c r="E10" s="5">
        <f>(+'I Trimestre'!E10+'II Trimestre'!E10+'III Trimestre'!E10)/3</f>
        <v>454</v>
      </c>
      <c r="F10" s="5">
        <f>+'I Trimestre'!F10+'II Trimestre'!F10+'III Trimestre'!F10/3</f>
        <v>0</v>
      </c>
      <c r="G10" s="3"/>
    </row>
    <row r="11" spans="1:7" x14ac:dyDescent="0.25">
      <c r="A11" s="6" t="s">
        <v>114</v>
      </c>
      <c r="B11" s="5">
        <f>SUM(C11:E11)</f>
        <v>3781.333333333333</v>
      </c>
      <c r="C11" s="5">
        <f>(+'I Trimestre'!C11+'II Trimestre'!C11+'III Trimestre'!C11)/3</f>
        <v>1721</v>
      </c>
      <c r="D11" s="5">
        <f>(+'I Trimestre'!D11+'II Trimestre'!D11+'III Trimestre'!D11)/3</f>
        <v>1086.3333333333333</v>
      </c>
      <c r="E11" s="5">
        <f>(+'I Trimestre'!E11+'II Trimestre'!E11+'III Trimestre'!E11)/3</f>
        <v>974</v>
      </c>
      <c r="F11" s="5">
        <f>+'I Trimestre'!F11+'II Trimestre'!F11+'III Trimestre'!F11</f>
        <v>14</v>
      </c>
      <c r="G11" s="19"/>
    </row>
    <row r="12" spans="1:7" x14ac:dyDescent="0.25">
      <c r="A12" s="6" t="s">
        <v>115</v>
      </c>
      <c r="B12" s="3">
        <f>SUM(C12:E12)</f>
        <v>3282.6666666666665</v>
      </c>
      <c r="C12" s="5">
        <f>(+'I Trimestre'!C12+'II Trimestre'!C12+'III Trimestre'!C12)/3</f>
        <v>1580.6666666666667</v>
      </c>
      <c r="D12" s="5">
        <f>(+'I Trimestre'!D12+'II Trimestre'!D12+'III Trimestre'!D12)/3</f>
        <v>849.33333333333337</v>
      </c>
      <c r="E12" s="5">
        <f>(+'I Trimestre'!E12+'II Trimestre'!E12+'III Trimestre'!E12)/3</f>
        <v>852.66666666666663</v>
      </c>
      <c r="F12" s="5">
        <f>+'I Trimestre'!F12+'II Trimestre'!F12+'III Trimestre'!F12/3</f>
        <v>0</v>
      </c>
    </row>
    <row r="13" spans="1:7" x14ac:dyDescent="0.25">
      <c r="A13" s="6" t="s">
        <v>77</v>
      </c>
      <c r="B13" s="5">
        <f>SUM(C13:E13)</f>
        <v>3877</v>
      </c>
      <c r="C13" s="5">
        <f>+'III Trimestre'!C13</f>
        <v>1739</v>
      </c>
      <c r="D13" s="5">
        <f>+'III Trimestre'!D13</f>
        <v>1164</v>
      </c>
      <c r="E13" s="5">
        <f>+'III Trimestre'!E13</f>
        <v>974</v>
      </c>
      <c r="F13" s="5">
        <f>+'III Trimestre'!F13</f>
        <v>5</v>
      </c>
      <c r="G13" s="19"/>
    </row>
    <row r="14" spans="1:7" x14ac:dyDescent="0.25">
      <c r="F14" s="7"/>
      <c r="G14" s="19"/>
    </row>
    <row r="15" spans="1:7" x14ac:dyDescent="0.25">
      <c r="A15" s="8" t="s">
        <v>7</v>
      </c>
      <c r="F15" s="7"/>
      <c r="G15" s="20"/>
    </row>
    <row r="16" spans="1:7" x14ac:dyDescent="0.25">
      <c r="A16" s="4" t="s">
        <v>63</v>
      </c>
      <c r="B16" s="5">
        <f t="shared" ref="B16" si="1">SUM(C16:E16)</f>
        <v>1411482039.98</v>
      </c>
      <c r="C16" s="5">
        <f>+'I Trimestre'!C16+'II Trimestre'!C16+'III Trimestre'!C16</f>
        <v>826863025.00999999</v>
      </c>
      <c r="D16" s="5">
        <f>+'I Trimestre'!D16+'II Trimestre'!D16+'III Trimestre'!D16</f>
        <v>123832761.86000001</v>
      </c>
      <c r="E16" s="5">
        <f>+'I Trimestre'!E16+'II Trimestre'!E16+'III Trimestre'!E16</f>
        <v>460786253.11000001</v>
      </c>
      <c r="F16" s="5">
        <f>+'I Trimestre'!F16+'II Trimestre'!F16+'III Trimestre'!F16</f>
        <v>0</v>
      </c>
    </row>
    <row r="17" spans="1:7" x14ac:dyDescent="0.25">
      <c r="A17" s="6" t="s">
        <v>114</v>
      </c>
      <c r="B17" s="5">
        <f>SUM(C17:F17)</f>
        <v>3981608211.75</v>
      </c>
      <c r="C17" s="5">
        <f>+'I Trimestre'!C17+'II Trimestre'!C17+'III Trimestre'!C17</f>
        <v>1121258175</v>
      </c>
      <c r="D17" s="5">
        <f>+'I Trimestre'!D17+'II Trimestre'!D17+'III Trimestre'!D17</f>
        <v>284100066</v>
      </c>
      <c r="E17" s="5">
        <f>+'I Trimestre'!E17+'II Trimestre'!E17+'III Trimestre'!E17</f>
        <v>1826249970.78</v>
      </c>
      <c r="F17" s="5">
        <f>+'I Trimestre'!F17+'II Trimestre'!F17+'III Trimestre'!F17</f>
        <v>749999999.97000003</v>
      </c>
      <c r="G17" s="19"/>
    </row>
    <row r="18" spans="1:7" x14ac:dyDescent="0.25">
      <c r="A18" s="6" t="s">
        <v>115</v>
      </c>
      <c r="B18" s="3">
        <f>SUM(C18:E18)</f>
        <v>2866750401</v>
      </c>
      <c r="C18" s="5">
        <f>+'I Trimestre'!C18+'II Trimestre'!C18+'III Trimestre'!C18</f>
        <v>1030759905</v>
      </c>
      <c r="D18" s="5">
        <f>+'I Trimestre'!D18+'II Trimestre'!D18+'III Trimestre'!D18</f>
        <v>222032178</v>
      </c>
      <c r="E18" s="5">
        <f>+'I Trimestre'!E18+'II Trimestre'!E18+'III Trimestre'!E18</f>
        <v>1613958318</v>
      </c>
      <c r="F18" s="5">
        <f>+'I Trimestre'!F18+'II Trimestre'!F18+'III Trimestre'!F18</f>
        <v>0</v>
      </c>
    </row>
    <row r="19" spans="1:7" x14ac:dyDescent="0.25">
      <c r="A19" s="6" t="s">
        <v>77</v>
      </c>
      <c r="B19" s="3">
        <f>SUM(C19:E19)</f>
        <v>4318831520</v>
      </c>
      <c r="C19" s="5">
        <f>+'III Trimestre'!C19</f>
        <v>1498277025</v>
      </c>
      <c r="D19" s="5">
        <f>+'III Trimestre'!D19</f>
        <v>385554495</v>
      </c>
      <c r="E19" s="5">
        <f>+'III Trimestre'!E19</f>
        <v>2435000000</v>
      </c>
      <c r="F19" s="5">
        <f>+'III Trimestre'!F19</f>
        <v>1000000000</v>
      </c>
    </row>
    <row r="20" spans="1:7" x14ac:dyDescent="0.25">
      <c r="A20" s="6" t="s">
        <v>116</v>
      </c>
      <c r="B20" s="5">
        <f>SUM(C20:E20)</f>
        <v>2866750401</v>
      </c>
      <c r="C20" s="5">
        <f>+C18</f>
        <v>1030759905</v>
      </c>
      <c r="D20" s="5">
        <f t="shared" ref="D20:F20" si="2">+D18</f>
        <v>222032178</v>
      </c>
      <c r="E20" s="5">
        <f t="shared" si="2"/>
        <v>1613958318</v>
      </c>
      <c r="F20" s="5">
        <f t="shared" si="2"/>
        <v>0</v>
      </c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8</v>
      </c>
      <c r="B22" s="5"/>
      <c r="C22" s="5"/>
      <c r="D22" s="5"/>
      <c r="E22" s="5"/>
      <c r="F22" s="5"/>
    </row>
    <row r="23" spans="1:7" x14ac:dyDescent="0.25">
      <c r="A23" s="4" t="s">
        <v>114</v>
      </c>
      <c r="B23" s="5">
        <f>B17</f>
        <v>3981608211.75</v>
      </c>
      <c r="C23" s="5"/>
      <c r="D23" s="5"/>
      <c r="E23" s="5"/>
      <c r="F23" s="5"/>
      <c r="G23" s="11"/>
    </row>
    <row r="24" spans="1:7" x14ac:dyDescent="0.25">
      <c r="A24" s="4" t="s">
        <v>115</v>
      </c>
      <c r="B24" s="5">
        <f>'I Trimestre'!B24+'II Trimestre'!B24+'III Trimestre'!B24</f>
        <v>3118173832.3600001</v>
      </c>
      <c r="C24" s="32"/>
      <c r="D24" s="32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9</v>
      </c>
      <c r="B26" s="7"/>
      <c r="C26" s="7"/>
      <c r="D26" s="7"/>
      <c r="E26" s="7"/>
      <c r="F26" s="7"/>
    </row>
    <row r="27" spans="1:7" x14ac:dyDescent="0.25">
      <c r="A27" s="4" t="s">
        <v>64</v>
      </c>
      <c r="B27" s="17">
        <v>1.4617491794222224</v>
      </c>
      <c r="C27" s="17">
        <v>1.4617491794222224</v>
      </c>
      <c r="D27" s="17">
        <v>1.4617491794222224</v>
      </c>
      <c r="E27" s="17">
        <v>1.4617491794222224</v>
      </c>
      <c r="F27" s="17">
        <v>1.4617491794222224</v>
      </c>
    </row>
    <row r="28" spans="1:7" x14ac:dyDescent="0.25">
      <c r="A28" s="4" t="s">
        <v>117</v>
      </c>
      <c r="B28" s="17">
        <v>1.5258720344444443</v>
      </c>
      <c r="C28" s="17">
        <v>1.5258720344444443</v>
      </c>
      <c r="D28" s="17">
        <v>1.5258720344444443</v>
      </c>
      <c r="E28" s="17">
        <v>1.5258720344444443</v>
      </c>
      <c r="F28" s="17">
        <v>1.5258720344444443</v>
      </c>
    </row>
    <row r="29" spans="1:7" x14ac:dyDescent="0.25">
      <c r="A29" s="4" t="s">
        <v>11</v>
      </c>
      <c r="B29" s="5">
        <v>17069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12</v>
      </c>
      <c r="B31" s="7"/>
      <c r="C31" s="7"/>
      <c r="D31" s="7"/>
      <c r="E31" s="7"/>
      <c r="F31" s="7"/>
    </row>
    <row r="32" spans="1:7" x14ac:dyDescent="0.25">
      <c r="A32" s="7" t="s">
        <v>65</v>
      </c>
      <c r="B32" s="5">
        <f>B16/B27</f>
        <v>965611652.01947224</v>
      </c>
      <c r="C32" s="5">
        <f>C16/C27</f>
        <v>565666830.29494131</v>
      </c>
      <c r="D32" s="5">
        <f>D16/D27</f>
        <v>84715465.281770647</v>
      </c>
      <c r="E32" s="5">
        <f>E16/E27</f>
        <v>315229356.44276023</v>
      </c>
      <c r="F32" s="5">
        <f>F16/F27</f>
        <v>0</v>
      </c>
    </row>
    <row r="33" spans="1:6" x14ac:dyDescent="0.25">
      <c r="A33" s="7" t="s">
        <v>118</v>
      </c>
      <c r="B33" s="5">
        <f>B18/B28</f>
        <v>1878762003.8162355</v>
      </c>
      <c r="C33" s="5">
        <f>C18/C28</f>
        <v>675521853.55785096</v>
      </c>
      <c r="D33" s="5">
        <f>D18/D28</f>
        <v>145511663.48680073</v>
      </c>
      <c r="E33" s="5">
        <f>E18/E28</f>
        <v>1057728486.7715838</v>
      </c>
      <c r="F33" s="5">
        <f>F18/F28</f>
        <v>0</v>
      </c>
    </row>
    <row r="34" spans="1:6" x14ac:dyDescent="0.25">
      <c r="A34" s="7" t="s">
        <v>66</v>
      </c>
      <c r="B34" s="5">
        <f>B32/(B10*9)</f>
        <v>44592.761245934802</v>
      </c>
      <c r="C34" s="5">
        <f t="shared" ref="C34:F34" si="3">C32/(C10*9)</f>
        <v>44313.891914997359</v>
      </c>
      <c r="D34" s="5">
        <f t="shared" si="3"/>
        <v>17638.031497349708</v>
      </c>
      <c r="E34" s="5">
        <f t="shared" si="3"/>
        <v>77148.643280166478</v>
      </c>
      <c r="F34" s="5" t="e">
        <f t="shared" si="3"/>
        <v>#DIV/0!</v>
      </c>
    </row>
    <row r="35" spans="1:6" x14ac:dyDescent="0.25">
      <c r="A35" s="7" t="s">
        <v>119</v>
      </c>
      <c r="B35" s="5">
        <f>B33/(B12*9)</f>
        <v>63591.998504475887</v>
      </c>
      <c r="C35" s="5">
        <f t="shared" ref="C35:F35" si="4">C33/(C12*9)</f>
        <v>47485.017120613731</v>
      </c>
      <c r="D35" s="5">
        <f t="shared" si="4"/>
        <v>19036.062727210981</v>
      </c>
      <c r="E35" s="5">
        <f t="shared" si="4"/>
        <v>137832.74521391501</v>
      </c>
      <c r="F35" s="5" t="e">
        <f t="shared" si="4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15</v>
      </c>
      <c r="F37" s="7"/>
    </row>
    <row r="38" spans="1:6" x14ac:dyDescent="0.25">
      <c r="F38" s="7"/>
    </row>
    <row r="39" spans="1:6" x14ac:dyDescent="0.25">
      <c r="A39" t="s">
        <v>16</v>
      </c>
      <c r="F39" s="7"/>
    </row>
    <row r="40" spans="1:6" x14ac:dyDescent="0.25">
      <c r="A40" t="s">
        <v>17</v>
      </c>
      <c r="B40" s="14">
        <f>B11/B29*100</f>
        <v>22.153221239283692</v>
      </c>
      <c r="C40" s="14" t="e">
        <f>C11/C29*100</f>
        <v>#DIV/0!</v>
      </c>
      <c r="D40" s="14" t="e">
        <f>D11/D29*100</f>
        <v>#DIV/0!</v>
      </c>
      <c r="E40" s="14" t="e">
        <f>E11/E29*100</f>
        <v>#DIV/0!</v>
      </c>
      <c r="F40" s="14" t="e">
        <f>F11/F29*100</f>
        <v>#DIV/0!</v>
      </c>
    </row>
    <row r="41" spans="1:6" x14ac:dyDescent="0.25">
      <c r="A41" t="s">
        <v>18</v>
      </c>
      <c r="B41" s="14">
        <f>B12/B29*100</f>
        <v>19.231745659773079</v>
      </c>
      <c r="C41" s="14" t="e">
        <f>C12/C29*100</f>
        <v>#DIV/0!</v>
      </c>
      <c r="D41" s="14" t="e">
        <f>D12/D29*100</f>
        <v>#DIV/0!</v>
      </c>
      <c r="E41" s="14" t="e">
        <f>E12/E29*100</f>
        <v>#DIV/0!</v>
      </c>
      <c r="F41" s="14" t="e">
        <f>F12/F29*100</f>
        <v>#DIV/0!</v>
      </c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19</v>
      </c>
      <c r="B43" s="7"/>
      <c r="C43" s="7"/>
      <c r="D43" s="7"/>
      <c r="E43" s="7"/>
      <c r="F43" s="7"/>
    </row>
    <row r="44" spans="1:6" x14ac:dyDescent="0.25">
      <c r="A44" t="s">
        <v>20</v>
      </c>
      <c r="B44" s="14">
        <f>B12/B11*100</f>
        <v>86.812411847672777</v>
      </c>
      <c r="C44" s="14">
        <f>C12/C11*100</f>
        <v>91.845826070114285</v>
      </c>
      <c r="D44" s="14">
        <f>D12/D11*100</f>
        <v>78.183491868671382</v>
      </c>
      <c r="E44" s="14">
        <f>E12/E11*100</f>
        <v>87.542778918548933</v>
      </c>
      <c r="F44" s="14">
        <f>F12/F11*100</f>
        <v>0</v>
      </c>
    </row>
    <row r="45" spans="1:6" x14ac:dyDescent="0.25">
      <c r="A45" t="s">
        <v>21</v>
      </c>
      <c r="B45" s="14">
        <f>B18/B17*100</f>
        <v>71.999811346079255</v>
      </c>
      <c r="C45" s="14">
        <f>C18/C17*100</f>
        <v>91.928864197578761</v>
      </c>
      <c r="D45" s="14">
        <f>D18/D17*100</f>
        <v>78.152807609696225</v>
      </c>
      <c r="E45" s="14">
        <f>E18/E17*100</f>
        <v>88.375542440702731</v>
      </c>
      <c r="F45" s="14">
        <f>F18/F17*100</f>
        <v>0</v>
      </c>
    </row>
    <row r="46" spans="1:6" x14ac:dyDescent="0.25">
      <c r="A46" s="7" t="s">
        <v>22</v>
      </c>
      <c r="B46" s="14">
        <f>AVERAGE(B44:B45)</f>
        <v>79.406111596876016</v>
      </c>
      <c r="C46" s="14">
        <f>AVERAGE(C44:C45)</f>
        <v>91.887345133846523</v>
      </c>
      <c r="D46" s="14">
        <f>AVERAGE(D44:D45)</f>
        <v>78.168149739183804</v>
      </c>
      <c r="E46" s="14">
        <f>AVERAGE(E44:E45)</f>
        <v>87.959160679625825</v>
      </c>
      <c r="F46" s="14">
        <f>AVERAGE(F44:F45)</f>
        <v>0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23</v>
      </c>
      <c r="B48" s="7"/>
      <c r="C48" s="7"/>
      <c r="D48" s="7"/>
      <c r="E48" s="7"/>
      <c r="F48" s="7"/>
    </row>
    <row r="49" spans="1:7" x14ac:dyDescent="0.25">
      <c r="A49" s="7" t="s">
        <v>24</v>
      </c>
      <c r="B49" s="14">
        <f>(B12/B13)*100</f>
        <v>84.670277706130165</v>
      </c>
      <c r="C49" s="14">
        <f t="shared" ref="C49:E49" si="5">(C12/C13)*100</f>
        <v>90.895150469618557</v>
      </c>
      <c r="D49" s="14">
        <f t="shared" si="5"/>
        <v>72.966781214203905</v>
      </c>
      <c r="E49" s="14">
        <f t="shared" si="5"/>
        <v>87.542778918548933</v>
      </c>
      <c r="F49" s="14">
        <f t="shared" ref="F49" si="6">(F12/(F13*4/3))*100</f>
        <v>0</v>
      </c>
    </row>
    <row r="50" spans="1:7" x14ac:dyDescent="0.25">
      <c r="A50" s="7" t="s">
        <v>25</v>
      </c>
      <c r="B50" s="14">
        <f>B18/B19*100</f>
        <v>66.377916983434446</v>
      </c>
      <c r="C50" s="14">
        <f>C18/C19*100</f>
        <v>68.796349927344053</v>
      </c>
      <c r="D50" s="14">
        <f>D18/D19*100</f>
        <v>57.587755007239636</v>
      </c>
      <c r="E50" s="14">
        <f>E18/E19*100</f>
        <v>66.281655770020535</v>
      </c>
      <c r="F50" s="14">
        <f>F18/F19*100</f>
        <v>0</v>
      </c>
    </row>
    <row r="51" spans="1:7" x14ac:dyDescent="0.25">
      <c r="A51" s="7" t="s">
        <v>26</v>
      </c>
      <c r="B51" s="14">
        <f>(B49+B50)/2</f>
        <v>75.524097344782305</v>
      </c>
      <c r="C51" s="14">
        <f>(C49+C50)/2</f>
        <v>79.845750198481312</v>
      </c>
      <c r="D51" s="14">
        <f>(D49+D50)/2</f>
        <v>65.277268110721764</v>
      </c>
      <c r="E51" s="14">
        <f>(E49+E50)/2</f>
        <v>76.912217344284727</v>
      </c>
      <c r="F51" s="14">
        <f>(F49+F50)/2</f>
        <v>0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27</v>
      </c>
      <c r="B53" s="7"/>
      <c r="C53" s="7"/>
      <c r="D53" s="7"/>
      <c r="E53" s="7"/>
      <c r="F53" s="7"/>
    </row>
    <row r="54" spans="1:7" x14ac:dyDescent="0.25">
      <c r="A54" s="7" t="s">
        <v>28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 t="e">
        <f>F20/F18*100</f>
        <v>#DIV/0!</v>
      </c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29</v>
      </c>
      <c r="B56" s="7"/>
      <c r="C56" s="7"/>
      <c r="D56" s="7"/>
      <c r="E56" s="7"/>
      <c r="F56" s="7"/>
    </row>
    <row r="57" spans="1:7" x14ac:dyDescent="0.25">
      <c r="A57" s="7" t="s">
        <v>30</v>
      </c>
      <c r="B57" s="14">
        <f>((B12/B10)-1)*100</f>
        <v>36.436686062621227</v>
      </c>
      <c r="C57" s="14">
        <f>((C12/C10)-1)*100</f>
        <v>11.445358401880146</v>
      </c>
      <c r="D57" s="14">
        <f>((D12/D10)-1)*100</f>
        <v>59.150530918176145</v>
      </c>
      <c r="E57" s="14">
        <f>((E12/E10)-1)*100</f>
        <v>87.812041116005872</v>
      </c>
      <c r="F57" s="14" t="e">
        <f>((F12/F10)-1)*100</f>
        <v>#DIV/0!</v>
      </c>
    </row>
    <row r="58" spans="1:7" x14ac:dyDescent="0.25">
      <c r="A58" s="7" t="s">
        <v>31</v>
      </c>
      <c r="B58" s="14">
        <f>((B33/B32)-1)*100</f>
        <v>94.56703943940694</v>
      </c>
      <c r="C58" s="14">
        <f>((C33/C32)-1)*100</f>
        <v>19.420446343942555</v>
      </c>
      <c r="D58" s="14">
        <f>((D33/D32)-1)*100</f>
        <v>71.765170624769496</v>
      </c>
      <c r="E58" s="14">
        <f>((E33/E32)-1)*100</f>
        <v>235.54250743256762</v>
      </c>
      <c r="F58" s="14" t="e">
        <f>((F33/F32)-1)*100</f>
        <v>#DIV/0!</v>
      </c>
      <c r="G58" s="14"/>
    </row>
    <row r="59" spans="1:7" x14ac:dyDescent="0.25">
      <c r="A59" s="7" t="s">
        <v>32</v>
      </c>
      <c r="B59" s="14">
        <f>((B35/B34)-1)*100</f>
        <v>42.606101814951217</v>
      </c>
      <c r="C59" s="14">
        <f>((C35/C34)-1)*100</f>
        <v>7.1560521285271017</v>
      </c>
      <c r="D59" s="14">
        <f>((D35/D34)-1)*100</f>
        <v>7.9262316209796069</v>
      </c>
      <c r="E59" s="14">
        <f>((E35/E34)-1)*100</f>
        <v>78.658676748693154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33</v>
      </c>
      <c r="B61" s="7"/>
      <c r="C61" s="7"/>
      <c r="D61" s="7"/>
      <c r="E61" s="7"/>
      <c r="F61" s="7"/>
    </row>
    <row r="62" spans="1:7" x14ac:dyDescent="0.25">
      <c r="A62" s="7" t="s">
        <v>34</v>
      </c>
      <c r="B62" s="5">
        <f>B17/(B11*9)</f>
        <v>116996.00998325106</v>
      </c>
      <c r="C62" s="5">
        <f t="shared" ref="C62:F62" si="7">C17/(C11*9)</f>
        <v>72390.61107883013</v>
      </c>
      <c r="D62" s="5">
        <f t="shared" si="7"/>
        <v>29058</v>
      </c>
      <c r="E62" s="5">
        <f t="shared" si="7"/>
        <v>208333.33</v>
      </c>
      <c r="F62" s="5">
        <f t="shared" si="7"/>
        <v>5952380.952142857</v>
      </c>
    </row>
    <row r="63" spans="1:7" x14ac:dyDescent="0.25">
      <c r="A63" s="7" t="s">
        <v>35</v>
      </c>
      <c r="B63" s="5">
        <f>B18/(B12*9)</f>
        <v>97033.252132412672</v>
      </c>
      <c r="C63" s="5">
        <f t="shared" ref="C63:F63" si="8">C18/(C12*9)</f>
        <v>72456.059679460144</v>
      </c>
      <c r="D63" s="5">
        <f t="shared" si="8"/>
        <v>29046.595761381475</v>
      </c>
      <c r="E63" s="5">
        <f t="shared" si="8"/>
        <v>210315.13135261924</v>
      </c>
      <c r="F63" s="5" t="e">
        <f t="shared" si="8"/>
        <v>#DIV/0!</v>
      </c>
    </row>
    <row r="64" spans="1:7" x14ac:dyDescent="0.25">
      <c r="A64" s="7" t="s">
        <v>36</v>
      </c>
      <c r="B64" s="14">
        <f>(B62/B63)*B46</f>
        <v>95.742418407678898</v>
      </c>
      <c r="C64" s="14">
        <f>(C62/C63)*C46</f>
        <v>91.80434451000329</v>
      </c>
      <c r="D64" s="14">
        <f>(D62/D63)*D46</f>
        <v>78.198840021766912</v>
      </c>
      <c r="E64" s="14">
        <f>E62/E63*E46</f>
        <v>87.130320726508657</v>
      </c>
      <c r="F64" s="14" t="e">
        <f>(F62/F63)*F46</f>
        <v>#DIV/0!</v>
      </c>
    </row>
    <row r="65" spans="1:7" x14ac:dyDescent="0.25">
      <c r="A65" s="7"/>
      <c r="B65" s="14"/>
      <c r="C65" s="14"/>
      <c r="D65" s="14"/>
      <c r="E65" s="14"/>
      <c r="F65" s="14"/>
    </row>
    <row r="66" spans="1:7" x14ac:dyDescent="0.25">
      <c r="A66" s="7" t="s">
        <v>37</v>
      </c>
      <c r="B66" s="14"/>
      <c r="C66" s="14"/>
      <c r="D66" s="14"/>
      <c r="E66" s="14"/>
      <c r="F66" s="14"/>
    </row>
    <row r="67" spans="1:7" x14ac:dyDescent="0.25">
      <c r="A67" s="7" t="s">
        <v>38</v>
      </c>
      <c r="B67" s="14">
        <f>(B24/B23)*100</f>
        <v>78.314431418893861</v>
      </c>
      <c r="C67" s="14"/>
      <c r="D67" s="14"/>
      <c r="E67" s="14"/>
      <c r="F67" s="14"/>
      <c r="G67" s="11"/>
    </row>
    <row r="68" spans="1:7" x14ac:dyDescent="0.25">
      <c r="A68" s="7" t="s">
        <v>39</v>
      </c>
      <c r="B68" s="14">
        <f>(B18/B24)*100</f>
        <v>91.936837236245111</v>
      </c>
      <c r="C68" s="14"/>
      <c r="D68" s="14"/>
      <c r="E68" s="14"/>
      <c r="F68" s="14"/>
      <c r="G68" s="11"/>
    </row>
    <row r="69" spans="1:7" ht="15.75" thickBot="1" x14ac:dyDescent="0.3">
      <c r="A69" s="21"/>
      <c r="B69" s="15"/>
      <c r="C69" s="15"/>
      <c r="D69" s="15"/>
      <c r="E69" s="15"/>
      <c r="F69" s="15"/>
    </row>
    <row r="70" spans="1:7" ht="15.75" thickTop="1" x14ac:dyDescent="0.25"/>
    <row r="71" spans="1:7" x14ac:dyDescent="0.25">
      <c r="A71" t="s">
        <v>46</v>
      </c>
    </row>
    <row r="72" spans="1:7" x14ac:dyDescent="0.25">
      <c r="A72" t="s">
        <v>127</v>
      </c>
    </row>
    <row r="73" spans="1:7" x14ac:dyDescent="0.25">
      <c r="A73" t="s">
        <v>82</v>
      </c>
      <c r="B73" s="16"/>
      <c r="C73" s="16"/>
      <c r="D73" s="16"/>
    </row>
    <row r="74" spans="1:7" x14ac:dyDescent="0.25">
      <c r="A74" t="s">
        <v>83</v>
      </c>
    </row>
    <row r="75" spans="1:7" x14ac:dyDescent="0.25">
      <c r="A75" t="s">
        <v>84</v>
      </c>
    </row>
    <row r="77" spans="1:7" x14ac:dyDescent="0.25">
      <c r="A77" t="s">
        <v>67</v>
      </c>
    </row>
    <row r="78" spans="1:7" x14ac:dyDescent="0.25">
      <c r="A78" t="s">
        <v>68</v>
      </c>
    </row>
    <row r="79" spans="1:7" x14ac:dyDescent="0.25">
      <c r="A79" t="s">
        <v>69</v>
      </c>
    </row>
    <row r="80" spans="1:7" x14ac:dyDescent="0.25">
      <c r="A80" t="s">
        <v>70</v>
      </c>
    </row>
    <row r="81" spans="1:1" x14ac:dyDescent="0.25">
      <c r="A81" t="s">
        <v>130</v>
      </c>
    </row>
    <row r="83" spans="1:1" x14ac:dyDescent="0.25">
      <c r="A83" t="s">
        <v>131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9"/>
  <sheetViews>
    <sheetView tabSelected="1" topLeftCell="A88" zoomScale="90" zoomScaleNormal="90" workbookViewId="0">
      <selection activeCell="C50" sqref="C50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6" t="s">
        <v>120</v>
      </c>
      <c r="B2" s="26"/>
      <c r="C2" s="26"/>
      <c r="D2" s="26"/>
      <c r="E2" s="26"/>
    </row>
    <row r="4" spans="1:7" ht="15" customHeight="1" x14ac:dyDescent="0.25">
      <c r="A4" s="27" t="s">
        <v>0</v>
      </c>
      <c r="B4" s="18"/>
      <c r="C4" s="31" t="s">
        <v>2</v>
      </c>
      <c r="D4" s="31"/>
      <c r="E4" s="31"/>
      <c r="F4" s="31"/>
    </row>
    <row r="5" spans="1:7" ht="15.75" thickBot="1" x14ac:dyDescent="0.3">
      <c r="A5" s="28"/>
      <c r="B5" s="1" t="s">
        <v>73</v>
      </c>
      <c r="C5" s="1" t="s">
        <v>128</v>
      </c>
      <c r="D5" s="1" t="s">
        <v>129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71</v>
      </c>
    </row>
    <row r="10" spans="1:7" x14ac:dyDescent="0.25">
      <c r="A10" s="4" t="s">
        <v>59</v>
      </c>
      <c r="B10" s="5">
        <f t="shared" ref="B10" si="0">SUM(C10:E10)</f>
        <v>3066.8333333333335</v>
      </c>
      <c r="C10" s="5">
        <f>(+'I Trimestre'!C10+'II Trimestre'!C10+'III Trimestre'!C10+'IV Trimestre'!C10)/4</f>
        <v>1452.75</v>
      </c>
      <c r="D10" s="5">
        <f>(+'I Trimestre'!D10+'II Trimestre'!D10+'III Trimestre'!D10+'IV Trimestre'!D10)/4</f>
        <v>583.33333333333337</v>
      </c>
      <c r="E10" s="5">
        <f>(+'I Trimestre'!E10+'II Trimestre'!E10+'III Trimestre'!E10+'IV Trimestre'!E10)/4</f>
        <v>1030.75</v>
      </c>
      <c r="F10" s="5">
        <f>+'I Trimestre'!F10+'II Trimestre'!F10+'III Trimestre'!F10+'IV Trimestre'!F10/4</f>
        <v>0</v>
      </c>
      <c r="G10" s="3"/>
    </row>
    <row r="11" spans="1:7" x14ac:dyDescent="0.25">
      <c r="A11" s="6" t="s">
        <v>121</v>
      </c>
      <c r="B11" s="5">
        <f>SUM(C11:E11)</f>
        <v>3805.25</v>
      </c>
      <c r="C11" s="5">
        <f>(+'I Trimestre'!C11+'II Trimestre'!C11+'III Trimestre'!C11+'IV Trimestre'!C11)/4</f>
        <v>1725.5</v>
      </c>
      <c r="D11" s="5">
        <f>(+'I Trimestre'!D11+'II Trimestre'!D11+'III Trimestre'!D11+'IV Trimestre'!D11)/4</f>
        <v>1105.75</v>
      </c>
      <c r="E11" s="5">
        <f>(+'I Trimestre'!E11+'II Trimestre'!E11+'III Trimestre'!E11+'IV Trimestre'!E11)/4</f>
        <v>974</v>
      </c>
      <c r="F11" s="5">
        <f>+'I Trimestre'!F11+'II Trimestre'!F11+'III Trimestre'!F11+'IV Trimestre'!F11</f>
        <v>19</v>
      </c>
      <c r="G11" s="19"/>
    </row>
    <row r="12" spans="1:7" x14ac:dyDescent="0.25">
      <c r="A12" s="6" t="s">
        <v>122</v>
      </c>
      <c r="B12" s="3">
        <f>SUM(C12:E12)</f>
        <v>3369.75</v>
      </c>
      <c r="C12" s="5">
        <f>(+'I Trimestre'!C12+'II Trimestre'!C12+'III Trimestre'!C12+'IV Trimestre'!C12)/4</f>
        <v>1600.25</v>
      </c>
      <c r="D12" s="5">
        <f>(+'I Trimestre'!D12+'II Trimestre'!D12+'III Trimestre'!D12+'IV Trimestre'!D12)/4</f>
        <v>859.5</v>
      </c>
      <c r="E12" s="5">
        <f>(+'I Trimestre'!E12+'II Trimestre'!E12+'III Trimestre'!E12+'IV Trimestre'!E12)/4</f>
        <v>910</v>
      </c>
      <c r="F12" s="5">
        <f>+'I Trimestre'!F12+'II Trimestre'!F12+'III Trimestre'!F12+'IV Trimestre'!F12/4</f>
        <v>0</v>
      </c>
    </row>
    <row r="13" spans="1:7" x14ac:dyDescent="0.25">
      <c r="A13" s="6" t="s">
        <v>77</v>
      </c>
      <c r="B13" s="5">
        <f>SUM(C13:E13)</f>
        <v>3877</v>
      </c>
      <c r="C13" s="5">
        <f>+'IV Trimestre'!C13</f>
        <v>1739</v>
      </c>
      <c r="D13" s="5">
        <f>+'IV Trimestre'!D13</f>
        <v>1164</v>
      </c>
      <c r="E13" s="5">
        <f>+'IV Trimestre'!E13</f>
        <v>974</v>
      </c>
      <c r="F13" s="5">
        <f>+'IV Trimestre'!F13</f>
        <v>5</v>
      </c>
      <c r="G13" s="19"/>
    </row>
    <row r="14" spans="1:7" x14ac:dyDescent="0.25">
      <c r="F14" s="7"/>
      <c r="G14" s="19"/>
    </row>
    <row r="15" spans="1:7" x14ac:dyDescent="0.25">
      <c r="A15" s="8" t="s">
        <v>7</v>
      </c>
      <c r="F15" s="7"/>
      <c r="G15" s="20"/>
    </row>
    <row r="16" spans="1:7" x14ac:dyDescent="0.25">
      <c r="A16" s="4" t="s">
        <v>59</v>
      </c>
      <c r="B16" s="5">
        <f t="shared" ref="B16" si="1">SUM(C16:E16)</f>
        <v>3536749812.1700001</v>
      </c>
      <c r="C16" s="5">
        <f>+'I Trimestre'!C16+'II Trimestre'!C16+'III Trimestre'!C16+'IV Trimestre'!C16</f>
        <v>1419353261.02</v>
      </c>
      <c r="D16" s="5">
        <f>+'I Trimestre'!D16+'II Trimestre'!D16+'III Trimestre'!D16+'IV Trimestre'!D16</f>
        <v>219592815.01000002</v>
      </c>
      <c r="E16" s="5">
        <f>+'I Trimestre'!E16+'II Trimestre'!E16+'III Trimestre'!E16+'IV Trimestre'!E16</f>
        <v>1897803736.1399999</v>
      </c>
      <c r="F16" s="5">
        <f>+'I Trimestre'!F16+'II Trimestre'!F16+'III Trimestre'!F16+'IV Trimestre'!F16</f>
        <v>0</v>
      </c>
    </row>
    <row r="17" spans="1:7" x14ac:dyDescent="0.25">
      <c r="A17" s="6" t="s">
        <v>121</v>
      </c>
      <c r="B17" s="5">
        <f>SUM(C17:F17)</f>
        <v>5318847588</v>
      </c>
      <c r="C17" s="5">
        <f>+'I Trimestre'!C17+'II Trimestre'!C17+'III Trimestre'!C17+'IV Trimestre'!C17</f>
        <v>1498277025</v>
      </c>
      <c r="D17" s="5">
        <f>+'I Trimestre'!D17+'II Trimestre'!D17+'III Trimestre'!D17+'IV Trimestre'!D17</f>
        <v>385570602</v>
      </c>
      <c r="E17" s="5">
        <f>+'I Trimestre'!E17+'II Trimestre'!E17+'III Trimestre'!E17+'IV Trimestre'!E17</f>
        <v>2434999961.04</v>
      </c>
      <c r="F17" s="5">
        <f>+'I Trimestre'!F17+'II Trimestre'!F17+'III Trimestre'!F17+'IV Trimestre'!F17</f>
        <v>999999999.96000004</v>
      </c>
      <c r="G17" s="19"/>
    </row>
    <row r="18" spans="1:7" x14ac:dyDescent="0.25">
      <c r="A18" s="6" t="s">
        <v>122</v>
      </c>
      <c r="B18" s="3">
        <f>SUM(C18:E18)</f>
        <v>3986565425</v>
      </c>
      <c r="C18" s="5">
        <f>+'I Trimestre'!C18+'II Trimestre'!C18+'III Trimestre'!C18+'IV Trimestre'!C18</f>
        <v>1394420775</v>
      </c>
      <c r="D18" s="5">
        <f>+'I Trimestre'!D18+'II Trimestre'!D18+'III Trimestre'!D18+'IV Trimestre'!D18</f>
        <v>299558922</v>
      </c>
      <c r="E18" s="5">
        <f>+'I Trimestre'!E18+'II Trimestre'!E18+'III Trimestre'!E18+'IV Trimestre'!E18</f>
        <v>2292585728</v>
      </c>
      <c r="F18" s="5">
        <f>+'I Trimestre'!F18+'II Trimestre'!F18+'III Trimestre'!F18+'IV Trimestre'!F18</f>
        <v>0</v>
      </c>
    </row>
    <row r="19" spans="1:7" x14ac:dyDescent="0.25">
      <c r="A19" s="6" t="s">
        <v>77</v>
      </c>
      <c r="B19" s="3">
        <f>+'IV Trimestre'!B19</f>
        <v>5318831520</v>
      </c>
      <c r="C19" s="3">
        <f>+'IV Trimestre'!C19</f>
        <v>1498277025</v>
      </c>
      <c r="D19" s="3">
        <f>+'IV Trimestre'!D19</f>
        <v>385554495</v>
      </c>
      <c r="E19" s="3">
        <f>+'IV Trimestre'!E19</f>
        <v>2435000000</v>
      </c>
      <c r="F19" s="3">
        <f>+'IV Trimestre'!F19</f>
        <v>1000000000</v>
      </c>
    </row>
    <row r="20" spans="1:7" x14ac:dyDescent="0.25">
      <c r="A20" s="6" t="s">
        <v>123</v>
      </c>
      <c r="B20" s="5">
        <f>SUM(C20:E20)</f>
        <v>3986565425</v>
      </c>
      <c r="C20" s="5">
        <f>+C18</f>
        <v>1394420775</v>
      </c>
      <c r="D20" s="5">
        <f t="shared" ref="D20:F20" si="2">+D18</f>
        <v>299558922</v>
      </c>
      <c r="E20" s="5">
        <f t="shared" si="2"/>
        <v>2292585728</v>
      </c>
      <c r="F20" s="5">
        <f t="shared" si="2"/>
        <v>0</v>
      </c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8</v>
      </c>
      <c r="B22" s="5"/>
      <c r="C22" s="5"/>
      <c r="D22" s="5"/>
      <c r="E22" s="5"/>
      <c r="F22" s="5"/>
    </row>
    <row r="23" spans="1:7" x14ac:dyDescent="0.25">
      <c r="A23" s="4" t="s">
        <v>121</v>
      </c>
      <c r="B23" s="5">
        <f>B17</f>
        <v>5318847588</v>
      </c>
      <c r="C23" s="5"/>
      <c r="D23" s="5"/>
      <c r="E23" s="5"/>
      <c r="F23" s="5"/>
      <c r="G23" s="11"/>
    </row>
    <row r="24" spans="1:7" x14ac:dyDescent="0.25">
      <c r="A24" s="4" t="s">
        <v>122</v>
      </c>
      <c r="B24" s="5">
        <f>'I Trimestre'!B24+'II Trimestre'!B24+'III Trimestre'!B24+'IV Trimestre'!B24</f>
        <v>4162745062.6199999</v>
      </c>
      <c r="C24" s="32"/>
      <c r="D24" s="32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9</v>
      </c>
      <c r="B26" s="7"/>
      <c r="C26" s="7"/>
      <c r="D26" s="7"/>
      <c r="E26" s="7"/>
      <c r="F26" s="7"/>
    </row>
    <row r="27" spans="1:7" x14ac:dyDescent="0.25">
      <c r="A27" s="4" t="s">
        <v>60</v>
      </c>
      <c r="B27" s="17">
        <v>1.4683304717083334</v>
      </c>
      <c r="C27" s="17">
        <v>1.4683304717083334</v>
      </c>
      <c r="D27" s="17">
        <v>1.4683304717083334</v>
      </c>
      <c r="E27" s="17">
        <v>1.4683304717083334</v>
      </c>
      <c r="F27" s="17">
        <v>1.4683304717083334</v>
      </c>
    </row>
    <row r="28" spans="1:7" x14ac:dyDescent="0.25">
      <c r="A28" s="4" t="s">
        <v>124</v>
      </c>
      <c r="B28" s="17">
        <v>1.53</v>
      </c>
      <c r="C28" s="17">
        <v>1.53</v>
      </c>
      <c r="D28" s="17">
        <v>1.53</v>
      </c>
      <c r="E28" s="17">
        <v>1.53</v>
      </c>
      <c r="F28" s="17">
        <v>1.53</v>
      </c>
    </row>
    <row r="29" spans="1:7" x14ac:dyDescent="0.25">
      <c r="A29" s="4" t="s">
        <v>11</v>
      </c>
      <c r="B29" s="5">
        <v>17069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12</v>
      </c>
      <c r="B31" s="7"/>
      <c r="C31" s="7"/>
      <c r="D31" s="7"/>
      <c r="E31" s="7"/>
      <c r="F31" s="7"/>
    </row>
    <row r="32" spans="1:7" x14ac:dyDescent="0.25">
      <c r="A32" s="7" t="s">
        <v>61</v>
      </c>
      <c r="B32" s="5">
        <f>B16/B27</f>
        <v>2408687880.7705722</v>
      </c>
      <c r="C32" s="5">
        <f>C16/C27</f>
        <v>966644286.39735937</v>
      </c>
      <c r="D32" s="5">
        <f>D16/D27</f>
        <v>149552719.39191872</v>
      </c>
      <c r="E32" s="5">
        <f>E16/E27</f>
        <v>1292490874.9812939</v>
      </c>
      <c r="F32" s="5">
        <f>F16/F27</f>
        <v>0</v>
      </c>
    </row>
    <row r="33" spans="1:7" x14ac:dyDescent="0.25">
      <c r="A33" s="7" t="s">
        <v>125</v>
      </c>
      <c r="B33" s="5">
        <f>B18/B28</f>
        <v>2605598316.993464</v>
      </c>
      <c r="C33" s="5">
        <f>C18/C28</f>
        <v>911386127.45098042</v>
      </c>
      <c r="D33" s="5">
        <f>D18/D28</f>
        <v>195790145.09803921</v>
      </c>
      <c r="E33" s="5">
        <f>E18/E28</f>
        <v>1498422044.4444444</v>
      </c>
      <c r="F33" s="5">
        <f>F18/F28</f>
        <v>0</v>
      </c>
      <c r="G33" s="5"/>
    </row>
    <row r="34" spans="1:7" x14ac:dyDescent="0.25">
      <c r="A34" s="7" t="s">
        <v>62</v>
      </c>
      <c r="B34" s="5">
        <f>B32/(B10*12)</f>
        <v>65449.917960180755</v>
      </c>
      <c r="C34" s="5">
        <f t="shared" ref="C34:F34" si="3">C32/(C10*12)</f>
        <v>55449.107233256429</v>
      </c>
      <c r="D34" s="5">
        <f t="shared" si="3"/>
        <v>21364.674198845532</v>
      </c>
      <c r="E34" s="5">
        <f t="shared" si="3"/>
        <v>104494.37100665324</v>
      </c>
      <c r="F34" s="5" t="e">
        <f t="shared" si="3"/>
        <v>#DIV/0!</v>
      </c>
    </row>
    <row r="35" spans="1:7" x14ac:dyDescent="0.25">
      <c r="A35" s="7" t="s">
        <v>126</v>
      </c>
      <c r="B35" s="5">
        <f>B33/(B12*12)</f>
        <v>64435.994682925637</v>
      </c>
      <c r="C35" s="5">
        <f t="shared" ref="C35:F35" si="4">C33/(C12*12)</f>
        <v>47460.611750819167</v>
      </c>
      <c r="D35" s="5">
        <f t="shared" si="4"/>
        <v>18982.949883463178</v>
      </c>
      <c r="E35" s="5">
        <f t="shared" si="4"/>
        <v>137218.13593813594</v>
      </c>
      <c r="F35" s="5" t="e">
        <f t="shared" si="4"/>
        <v>#DIV/0!</v>
      </c>
    </row>
    <row r="36" spans="1:7" x14ac:dyDescent="0.25">
      <c r="A36" s="7"/>
      <c r="B36" s="7"/>
      <c r="C36" s="7"/>
      <c r="D36" s="7"/>
      <c r="E36" s="7"/>
      <c r="F36" s="7"/>
    </row>
    <row r="37" spans="1:7" x14ac:dyDescent="0.25">
      <c r="A37" s="2" t="s">
        <v>15</v>
      </c>
      <c r="F37" s="7"/>
    </row>
    <row r="38" spans="1:7" x14ac:dyDescent="0.25">
      <c r="F38" s="7"/>
    </row>
    <row r="39" spans="1:7" x14ac:dyDescent="0.25">
      <c r="A39" t="s">
        <v>16</v>
      </c>
      <c r="F39" s="7"/>
    </row>
    <row r="40" spans="1:7" x14ac:dyDescent="0.25">
      <c r="A40" t="s">
        <v>17</v>
      </c>
      <c r="B40" s="14">
        <f>B11/B29*100</f>
        <v>22.293338801335754</v>
      </c>
      <c r="C40" s="14" t="e">
        <f>C11/C29*100</f>
        <v>#DIV/0!</v>
      </c>
      <c r="D40" s="14" t="e">
        <f>D11/D29*100</f>
        <v>#DIV/0!</v>
      </c>
      <c r="E40" s="14" t="e">
        <f>E11/E29*100</f>
        <v>#DIV/0!</v>
      </c>
      <c r="F40" s="14" t="e">
        <f>F11/F29*100</f>
        <v>#DIV/0!</v>
      </c>
    </row>
    <row r="41" spans="1:7" x14ac:dyDescent="0.25">
      <c r="A41" t="s">
        <v>18</v>
      </c>
      <c r="B41" s="14">
        <f>B12/B29*100</f>
        <v>19.741929814283203</v>
      </c>
      <c r="C41" s="14" t="e">
        <f>C12/C29*100</f>
        <v>#DIV/0!</v>
      </c>
      <c r="D41" s="14" t="e">
        <f>D12/D29*100</f>
        <v>#DIV/0!</v>
      </c>
      <c r="E41" s="14" t="e">
        <f>E12/E29*100</f>
        <v>#DIV/0!</v>
      </c>
      <c r="F41" s="14" t="e">
        <f>F12/F29*100</f>
        <v>#DIV/0!</v>
      </c>
    </row>
    <row r="42" spans="1:7" x14ac:dyDescent="0.25">
      <c r="B42" s="7"/>
      <c r="C42" s="7"/>
      <c r="D42" s="7"/>
      <c r="E42" s="7"/>
      <c r="F42" s="7"/>
    </row>
    <row r="43" spans="1:7" x14ac:dyDescent="0.25">
      <c r="A43" t="s">
        <v>19</v>
      </c>
      <c r="B43" s="7"/>
      <c r="C43" s="7"/>
      <c r="D43" s="7"/>
      <c r="E43" s="7"/>
      <c r="F43" s="7"/>
    </row>
    <row r="44" spans="1:7" x14ac:dyDescent="0.25">
      <c r="A44" t="s">
        <v>20</v>
      </c>
      <c r="B44" s="14">
        <f>B12/B11*100</f>
        <v>88.555285460876419</v>
      </c>
      <c r="C44" s="14">
        <f>C12/C11*100</f>
        <v>92.741234424804404</v>
      </c>
      <c r="D44" s="14">
        <f>D12/D11*100</f>
        <v>77.730047479086593</v>
      </c>
      <c r="E44" s="14">
        <f>E12/E11*100</f>
        <v>93.429158110882966</v>
      </c>
      <c r="F44" s="14">
        <f>F12/F11*100</f>
        <v>0</v>
      </c>
    </row>
    <row r="45" spans="1:7" x14ac:dyDescent="0.25">
      <c r="A45" t="s">
        <v>21</v>
      </c>
      <c r="B45" s="14">
        <f>B18/B17*100</f>
        <v>74.951676261493205</v>
      </c>
      <c r="C45" s="14">
        <f>C18/C17*100</f>
        <v>93.06828788888356</v>
      </c>
      <c r="D45" s="14">
        <f>D18/D17*100</f>
        <v>77.692365664330396</v>
      </c>
      <c r="E45" s="14">
        <f>E18/E17*100</f>
        <v>94.151366106011182</v>
      </c>
      <c r="F45" s="14">
        <f>F18/F17*100</f>
        <v>0</v>
      </c>
    </row>
    <row r="46" spans="1:7" x14ac:dyDescent="0.25">
      <c r="A46" s="7" t="s">
        <v>22</v>
      </c>
      <c r="B46" s="14">
        <f>AVERAGE(B44:B45)</f>
        <v>81.753480861184812</v>
      </c>
      <c r="C46" s="14">
        <f>AVERAGE(C44:C45)</f>
        <v>92.904761156843989</v>
      </c>
      <c r="D46" s="14">
        <f>AVERAGE(D44:D45)</f>
        <v>77.711206571708487</v>
      </c>
      <c r="E46" s="14">
        <f>AVERAGE(E44:E45)</f>
        <v>93.790262108447081</v>
      </c>
      <c r="F46" s="14">
        <f>AVERAGE(F44:F45)</f>
        <v>0</v>
      </c>
    </row>
    <row r="47" spans="1:7" x14ac:dyDescent="0.25">
      <c r="A47" s="7"/>
      <c r="B47" s="14"/>
      <c r="C47" s="14"/>
      <c r="D47" s="14"/>
      <c r="E47" s="14"/>
      <c r="F47" s="14"/>
    </row>
    <row r="48" spans="1:7" x14ac:dyDescent="0.25">
      <c r="A48" s="7" t="s">
        <v>23</v>
      </c>
      <c r="B48" s="7"/>
      <c r="C48" s="7"/>
      <c r="D48" s="7"/>
      <c r="E48" s="7"/>
      <c r="F48" s="7"/>
    </row>
    <row r="49" spans="1:7" x14ac:dyDescent="0.25">
      <c r="A49" s="7" t="s">
        <v>24</v>
      </c>
      <c r="B49" s="14">
        <f>(B12)/B13*100</f>
        <v>86.916430229558941</v>
      </c>
      <c r="C49" s="14">
        <f t="shared" ref="C49:F49" si="5">(C12)/C13*100</f>
        <v>92.021276595744681</v>
      </c>
      <c r="D49" s="14">
        <f t="shared" si="5"/>
        <v>73.840206185567013</v>
      </c>
      <c r="E49" s="14">
        <f t="shared" si="5"/>
        <v>93.429158110882966</v>
      </c>
      <c r="F49" s="14">
        <f t="shared" si="5"/>
        <v>0</v>
      </c>
    </row>
    <row r="50" spans="1:7" x14ac:dyDescent="0.25">
      <c r="A50" s="7" t="s">
        <v>25</v>
      </c>
      <c r="B50" s="14">
        <f>B18/B19*100</f>
        <v>74.95190268782946</v>
      </c>
      <c r="C50" s="14">
        <f>C18/C19*100</f>
        <v>93.06828788888356</v>
      </c>
      <c r="D50" s="14">
        <f>D18/D19*100</f>
        <v>77.695611355795506</v>
      </c>
      <c r="E50" s="14">
        <f>E18/E19*100</f>
        <v>94.151364599589328</v>
      </c>
      <c r="F50" s="14">
        <f>F18/F19*100</f>
        <v>0</v>
      </c>
    </row>
    <row r="51" spans="1:7" x14ac:dyDescent="0.25">
      <c r="A51" s="7" t="s">
        <v>26</v>
      </c>
      <c r="B51" s="14">
        <f>(B49+B50)/2</f>
        <v>80.934166458694193</v>
      </c>
      <c r="C51" s="14">
        <f>(C49+C50)/2</f>
        <v>92.544782242314113</v>
      </c>
      <c r="D51" s="14">
        <f>(D49+D50)/2</f>
        <v>75.76790877068126</v>
      </c>
      <c r="E51" s="14">
        <f>(E49+E50)/2</f>
        <v>93.79026135523614</v>
      </c>
      <c r="F51" s="14">
        <f>(F49+F50)/2</f>
        <v>0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27</v>
      </c>
      <c r="B53" s="7"/>
      <c r="C53" s="7"/>
      <c r="D53" s="7"/>
      <c r="E53" s="7"/>
      <c r="F53" s="7"/>
    </row>
    <row r="54" spans="1:7" x14ac:dyDescent="0.25">
      <c r="A54" s="7" t="s">
        <v>28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 t="e">
        <f>F20/F18*100</f>
        <v>#DIV/0!</v>
      </c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29</v>
      </c>
      <c r="B56" s="7"/>
      <c r="C56" s="7"/>
      <c r="D56" s="7"/>
      <c r="E56" s="7"/>
      <c r="F56" s="7"/>
    </row>
    <row r="57" spans="1:7" x14ac:dyDescent="0.25">
      <c r="A57" s="7" t="s">
        <v>30</v>
      </c>
      <c r="B57" s="14">
        <f>((B12/B10)-1)*100</f>
        <v>9.8771805880115249</v>
      </c>
      <c r="C57" s="14">
        <f>((C12/C10)-1)*100</f>
        <v>10.153157804164525</v>
      </c>
      <c r="D57" s="14">
        <f>((D12/D10)-1)*100</f>
        <v>47.342857142857127</v>
      </c>
      <c r="E57" s="14">
        <f>((E12/E10)-1)*100</f>
        <v>-11.714770797962649</v>
      </c>
      <c r="F57" s="14" t="e">
        <f>((F12/F10)-1)*100</f>
        <v>#DIV/0!</v>
      </c>
    </row>
    <row r="58" spans="1:7" x14ac:dyDescent="0.25">
      <c r="A58" s="7" t="s">
        <v>31</v>
      </c>
      <c r="B58" s="14">
        <f>((B33/B32)-1)*100</f>
        <v>8.1750083850588915</v>
      </c>
      <c r="C58" s="14">
        <f>((C33/C32)-1)*100</f>
        <v>-5.7164936185909347</v>
      </c>
      <c r="D58" s="14">
        <f>((D33/D32)-1)*100</f>
        <v>30.917141389418944</v>
      </c>
      <c r="E58" s="14">
        <f>((E33/E32)-1)*100</f>
        <v>15.932891554544316</v>
      </c>
      <c r="F58" s="14" t="e">
        <f>((F33/F32)-1)*100</f>
        <v>#DIV/0!</v>
      </c>
      <c r="G58" s="14"/>
    </row>
    <row r="59" spans="1:7" x14ac:dyDescent="0.25">
      <c r="A59" s="7" t="s">
        <v>32</v>
      </c>
      <c r="B59" s="14">
        <f>((B35/B34)-1)*100</f>
        <v>-1.5491589735406319</v>
      </c>
      <c r="C59" s="14">
        <f>((C35/C34)-1)*100</f>
        <v>-14.406896487678777</v>
      </c>
      <c r="D59" s="14">
        <f>((D35/D34)-1)*100</f>
        <v>-11.147955233087782</v>
      </c>
      <c r="E59" s="14">
        <f>((E35/E34)-1)*100</f>
        <v>31.316294472358862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33</v>
      </c>
      <c r="B61" s="7"/>
      <c r="C61" s="7"/>
      <c r="D61" s="7"/>
      <c r="E61" s="7"/>
      <c r="F61" s="7"/>
    </row>
    <row r="62" spans="1:7" x14ac:dyDescent="0.25">
      <c r="A62" s="7" t="s">
        <v>34</v>
      </c>
      <c r="B62" s="5">
        <f>B17/(B11*12)</f>
        <v>116480.46751199002</v>
      </c>
      <c r="C62" s="5">
        <f t="shared" ref="C62:F62" si="6">C17/(C11*12)</f>
        <v>72359.558823529413</v>
      </c>
      <c r="D62" s="5">
        <f t="shared" si="6"/>
        <v>29058</v>
      </c>
      <c r="E62" s="5">
        <f t="shared" si="6"/>
        <v>208333.33</v>
      </c>
      <c r="F62" s="5">
        <f t="shared" si="6"/>
        <v>4385964.9121052632</v>
      </c>
    </row>
    <row r="63" spans="1:7" x14ac:dyDescent="0.25">
      <c r="A63" s="7" t="s">
        <v>35</v>
      </c>
      <c r="B63" s="5">
        <f>B18/(B12*12)</f>
        <v>98587.071864876227</v>
      </c>
      <c r="C63" s="5">
        <f t="shared" ref="C63:F63" si="7">C18/(C12*12)</f>
        <v>72614.735978753321</v>
      </c>
      <c r="D63" s="5">
        <f t="shared" si="7"/>
        <v>29043.913321698663</v>
      </c>
      <c r="E63" s="5">
        <f t="shared" si="7"/>
        <v>209943.74798534799</v>
      </c>
      <c r="F63" s="5" t="e">
        <f t="shared" si="7"/>
        <v>#DIV/0!</v>
      </c>
    </row>
    <row r="64" spans="1:7" x14ac:dyDescent="0.25">
      <c r="A64" s="7" t="s">
        <v>36</v>
      </c>
      <c r="B64" s="14">
        <f>(B62/B63)*B46</f>
        <v>96.591606701689628</v>
      </c>
      <c r="C64" s="14">
        <f>(C62/C63)*C46</f>
        <v>92.578282345908192</v>
      </c>
      <c r="D64" s="14">
        <f>(D62/D63)*D46</f>
        <v>77.748897524551495</v>
      </c>
      <c r="E64" s="14">
        <f>E62/E63*E46</f>
        <v>93.070824038014578</v>
      </c>
      <c r="F64" s="14" t="e">
        <f>(F62/F63)*F46</f>
        <v>#DIV/0!</v>
      </c>
    </row>
    <row r="65" spans="1:7" x14ac:dyDescent="0.25">
      <c r="A65" s="7"/>
      <c r="B65" s="14"/>
      <c r="C65" s="14"/>
      <c r="D65" s="14"/>
      <c r="E65" s="14"/>
      <c r="F65" s="14"/>
    </row>
    <row r="66" spans="1:7" x14ac:dyDescent="0.25">
      <c r="A66" s="7" t="s">
        <v>37</v>
      </c>
      <c r="B66" s="14"/>
      <c r="C66" s="14"/>
      <c r="D66" s="14"/>
      <c r="E66" s="14"/>
      <c r="F66" s="14"/>
    </row>
    <row r="67" spans="1:7" x14ac:dyDescent="0.25">
      <c r="A67" s="7" t="s">
        <v>38</v>
      </c>
      <c r="B67" s="14">
        <f>(B24/B23)*100</f>
        <v>78.264041105665157</v>
      </c>
      <c r="C67" s="14"/>
      <c r="D67" s="14"/>
      <c r="E67" s="14"/>
      <c r="F67" s="14"/>
      <c r="G67" s="11"/>
    </row>
    <row r="68" spans="1:7" x14ac:dyDescent="0.25">
      <c r="A68" s="7" t="s">
        <v>39</v>
      </c>
      <c r="B68" s="14">
        <f>(B18/B24)*100</f>
        <v>95.767705324978181</v>
      </c>
      <c r="C68" s="14"/>
      <c r="D68" s="14"/>
      <c r="E68" s="14"/>
      <c r="F68" s="14"/>
      <c r="G68" s="11"/>
    </row>
    <row r="69" spans="1:7" ht="15.75" thickBot="1" x14ac:dyDescent="0.3">
      <c r="A69" s="21"/>
      <c r="B69" s="15"/>
      <c r="C69" s="15"/>
      <c r="D69" s="15"/>
      <c r="E69" s="15"/>
      <c r="F69" s="15"/>
    </row>
    <row r="70" spans="1:7" ht="15.75" thickTop="1" x14ac:dyDescent="0.25"/>
    <row r="71" spans="1:7" x14ac:dyDescent="0.25">
      <c r="A71" t="s">
        <v>46</v>
      </c>
    </row>
    <row r="72" spans="1:7" x14ac:dyDescent="0.25">
      <c r="A72" t="s">
        <v>127</v>
      </c>
    </row>
    <row r="73" spans="1:7" x14ac:dyDescent="0.25">
      <c r="A73" t="s">
        <v>82</v>
      </c>
      <c r="B73" s="16"/>
      <c r="C73" s="16"/>
      <c r="D73" s="16"/>
    </row>
    <row r="74" spans="1:7" x14ac:dyDescent="0.25">
      <c r="A74" t="s">
        <v>83</v>
      </c>
    </row>
    <row r="75" spans="1:7" x14ac:dyDescent="0.25">
      <c r="A75" t="s">
        <v>84</v>
      </c>
    </row>
    <row r="77" spans="1:7" x14ac:dyDescent="0.25">
      <c r="A77" t="s">
        <v>67</v>
      </c>
    </row>
    <row r="78" spans="1:7" x14ac:dyDescent="0.25">
      <c r="A78" t="s">
        <v>68</v>
      </c>
    </row>
    <row r="79" spans="1:7" x14ac:dyDescent="0.25">
      <c r="A79" t="s">
        <v>69</v>
      </c>
    </row>
    <row r="80" spans="1:7" x14ac:dyDescent="0.25">
      <c r="A80" t="s">
        <v>70</v>
      </c>
    </row>
    <row r="81" spans="1:1" x14ac:dyDescent="0.25">
      <c r="A81" t="s">
        <v>130</v>
      </c>
    </row>
    <row r="83" spans="1:1" x14ac:dyDescent="0.25">
      <c r="A83" t="s">
        <v>131</v>
      </c>
    </row>
    <row r="97" spans="8:8" x14ac:dyDescent="0.25">
      <c r="H97">
        <f>(100+25)/2</f>
        <v>62.5</v>
      </c>
    </row>
    <row r="98" spans="8:8" x14ac:dyDescent="0.25">
      <c r="H98">
        <f>(100+50)/2</f>
        <v>75</v>
      </c>
    </row>
    <row r="99" spans="8:8" x14ac:dyDescent="0.25">
      <c r="H99">
        <f>(100+75)/2</f>
        <v>87.5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Tercer trimestre Acumulado</vt:lpstr>
      <vt:lpstr>Anual 2012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Sayra Rojas Rios</cp:lastModifiedBy>
  <dcterms:created xsi:type="dcterms:W3CDTF">2012-05-29T14:39:16Z</dcterms:created>
  <dcterms:modified xsi:type="dcterms:W3CDTF">2013-10-29T20:46:56Z</dcterms:modified>
</cp:coreProperties>
</file>