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2.xml" ContentType="application/vnd.openxmlformats-officedocument.drawing+xml"/>
  <Override PartName="/xl/comments7.xml" ContentType="application/vnd.openxmlformats-officedocument.spreadsheetml.comment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jas\Documents\Hermes Cliente\files\"/>
    </mc:Choice>
  </mc:AlternateContent>
  <bookViews>
    <workbookView xWindow="120" yWindow="135" windowWidth="17400" windowHeight="10005" activeTab="6"/>
  </bookViews>
  <sheets>
    <sheet name="I Trimestre" sheetId="4" r:id="rId1"/>
    <sheet name="II Trimestre" sheetId="5" r:id="rId2"/>
    <sheet name="III Trimestre" sheetId="6" r:id="rId3"/>
    <sheet name="IV Trimestre" sheetId="1" r:id="rId4"/>
    <sheet name="I Semestre" sheetId="2" r:id="rId5"/>
    <sheet name="III T Acumulado" sheetId="3" r:id="rId6"/>
    <sheet name="Anual" sheetId="7" r:id="rId7"/>
    <sheet name="Observaciones" sheetId="8" r:id="rId8"/>
  </sheets>
  <calcPr calcId="152511"/>
</workbook>
</file>

<file path=xl/calcChain.xml><?xml version="1.0" encoding="utf-8"?>
<calcChain xmlns="http://schemas.openxmlformats.org/spreadsheetml/2006/main">
  <c r="E19" i="1" l="1"/>
  <c r="C19" i="1"/>
  <c r="E19" i="6"/>
  <c r="C19" i="6"/>
  <c r="E19" i="5"/>
  <c r="C19" i="5"/>
  <c r="E19" i="4"/>
  <c r="C19" i="4"/>
  <c r="E17" i="1"/>
  <c r="C17" i="1"/>
  <c r="E17" i="6"/>
  <c r="C17" i="6"/>
  <c r="E17" i="5"/>
  <c r="C17" i="5"/>
  <c r="E17" i="4"/>
  <c r="C17" i="4"/>
  <c r="E11" i="2"/>
  <c r="E12" i="2"/>
  <c r="C11" i="2"/>
  <c r="C12" i="2"/>
  <c r="D11" i="2"/>
  <c r="D12" i="2"/>
  <c r="D10" i="2"/>
  <c r="C10" i="2"/>
  <c r="E10" i="2"/>
  <c r="B17" i="1" l="1"/>
  <c r="B18" i="1"/>
  <c r="B19" i="1"/>
  <c r="B11" i="1"/>
  <c r="B12" i="1"/>
  <c r="B13" i="1"/>
  <c r="B10" i="1"/>
  <c r="B57" i="1" s="1"/>
  <c r="B16" i="1"/>
  <c r="B16" i="6"/>
  <c r="B11" i="6"/>
  <c r="B12" i="6"/>
  <c r="B49" i="6" s="1"/>
  <c r="B13" i="6"/>
  <c r="B10" i="6"/>
  <c r="C32" i="6"/>
  <c r="C34" i="6" s="1"/>
  <c r="C33" i="6"/>
  <c r="C35" i="6" s="1"/>
  <c r="C32" i="1"/>
  <c r="C33" i="1"/>
  <c r="C34" i="1"/>
  <c r="C57" i="2"/>
  <c r="C49" i="2"/>
  <c r="C41" i="2"/>
  <c r="C66" i="1"/>
  <c r="C65" i="1"/>
  <c r="C63" i="1"/>
  <c r="C62" i="1"/>
  <c r="C57" i="1"/>
  <c r="C50" i="1"/>
  <c r="C49" i="1"/>
  <c r="C45" i="1"/>
  <c r="C44" i="1"/>
  <c r="C46" i="1" s="1"/>
  <c r="C41" i="1"/>
  <c r="C40" i="1"/>
  <c r="B70" i="1"/>
  <c r="B66" i="1"/>
  <c r="B65" i="1"/>
  <c r="B63" i="1"/>
  <c r="B62" i="1"/>
  <c r="B50" i="1"/>
  <c r="B49" i="1"/>
  <c r="B45" i="1"/>
  <c r="B44" i="1"/>
  <c r="B46" i="1" s="1"/>
  <c r="C66" i="6"/>
  <c r="C65" i="6"/>
  <c r="C63" i="6"/>
  <c r="C62" i="6"/>
  <c r="C57" i="6"/>
  <c r="C50" i="6"/>
  <c r="C49" i="6"/>
  <c r="C45" i="6"/>
  <c r="C44" i="6"/>
  <c r="C46" i="6" s="1"/>
  <c r="C41" i="6"/>
  <c r="C40" i="6"/>
  <c r="B44" i="6"/>
  <c r="C66" i="5"/>
  <c r="C65" i="5"/>
  <c r="C63" i="5"/>
  <c r="C62" i="5"/>
  <c r="C57" i="5"/>
  <c r="C50" i="5"/>
  <c r="C49" i="5"/>
  <c r="C45" i="5"/>
  <c r="C44" i="5"/>
  <c r="C41" i="5"/>
  <c r="C40" i="5"/>
  <c r="C33" i="5"/>
  <c r="C35" i="5" s="1"/>
  <c r="C32" i="5"/>
  <c r="C34" i="5" s="1"/>
  <c r="C33" i="4"/>
  <c r="C35" i="4" s="1"/>
  <c r="C32" i="4"/>
  <c r="C34" i="4" s="1"/>
  <c r="B17" i="5"/>
  <c r="B18" i="5"/>
  <c r="B70" i="5" s="1"/>
  <c r="B19" i="5"/>
  <c r="B16" i="5"/>
  <c r="B11" i="5"/>
  <c r="B12" i="5"/>
  <c r="B13" i="5"/>
  <c r="B10" i="5"/>
  <c r="C66" i="4"/>
  <c r="C65" i="4"/>
  <c r="C63" i="4"/>
  <c r="C62" i="4"/>
  <c r="C58" i="4"/>
  <c r="C57" i="4"/>
  <c r="C50" i="4"/>
  <c r="C49" i="4"/>
  <c r="C45" i="4"/>
  <c r="C44" i="4"/>
  <c r="C41" i="4"/>
  <c r="C40" i="4"/>
  <c r="B17" i="4"/>
  <c r="B18" i="4"/>
  <c r="B70" i="4" s="1"/>
  <c r="B19" i="4"/>
  <c r="B16" i="4"/>
  <c r="B11" i="4"/>
  <c r="B12" i="4"/>
  <c r="B13" i="4"/>
  <c r="B49" i="4" s="1"/>
  <c r="B10" i="4"/>
  <c r="C35" i="1" l="1"/>
  <c r="C46" i="4"/>
  <c r="B63" i="5"/>
  <c r="B50" i="5"/>
  <c r="B45" i="5"/>
  <c r="B49" i="5"/>
  <c r="B57" i="5"/>
  <c r="B66" i="5"/>
  <c r="B66" i="4"/>
  <c r="B50" i="4"/>
  <c r="B45" i="4"/>
  <c r="B63" i="4"/>
  <c r="B57" i="4"/>
  <c r="C51" i="1"/>
  <c r="C51" i="6"/>
  <c r="B51" i="5"/>
  <c r="C51" i="5"/>
  <c r="B51" i="4"/>
  <c r="C51" i="4"/>
  <c r="B65" i="5"/>
  <c r="C46" i="5"/>
  <c r="B65" i="4"/>
  <c r="B44" i="5"/>
  <c r="B46" i="5" s="1"/>
  <c r="B62" i="5"/>
  <c r="B44" i="4"/>
  <c r="B62" i="4"/>
  <c r="B51" i="1"/>
  <c r="C64" i="1"/>
  <c r="B64" i="1"/>
  <c r="C64" i="6"/>
  <c r="C64" i="5"/>
  <c r="C64" i="4"/>
  <c r="B23" i="4"/>
  <c r="B69" i="4" s="1"/>
  <c r="D20" i="5"/>
  <c r="E20" i="5"/>
  <c r="F20" i="5"/>
  <c r="G20" i="5"/>
  <c r="C20" i="5"/>
  <c r="D20" i="6"/>
  <c r="E20" i="6"/>
  <c r="F20" i="6"/>
  <c r="G20" i="6"/>
  <c r="C20" i="6"/>
  <c r="C54" i="6" s="1"/>
  <c r="D20" i="1"/>
  <c r="E20" i="1"/>
  <c r="F20" i="1"/>
  <c r="G20" i="1"/>
  <c r="C20" i="1"/>
  <c r="C19" i="2"/>
  <c r="C18" i="2"/>
  <c r="C17" i="2"/>
  <c r="C16" i="2"/>
  <c r="C32" i="2" s="1"/>
  <c r="C34" i="2" s="1"/>
  <c r="C12" i="3"/>
  <c r="C11" i="3"/>
  <c r="C10" i="3"/>
  <c r="C19" i="3"/>
  <c r="C18" i="3"/>
  <c r="C17" i="3"/>
  <c r="C16" i="3"/>
  <c r="C32" i="3" s="1"/>
  <c r="C12" i="7"/>
  <c r="C11" i="7"/>
  <c r="C10" i="7"/>
  <c r="C19" i="7"/>
  <c r="C18" i="7"/>
  <c r="C17" i="7"/>
  <c r="C16" i="7"/>
  <c r="C32" i="7" s="1"/>
  <c r="D20" i="4"/>
  <c r="E20" i="4"/>
  <c r="F20" i="4"/>
  <c r="G20" i="4"/>
  <c r="C20" i="4"/>
  <c r="B46" i="4" l="1"/>
  <c r="B64" i="4" s="1"/>
  <c r="B20" i="1"/>
  <c r="B54" i="1" s="1"/>
  <c r="C54" i="1"/>
  <c r="C54" i="5"/>
  <c r="B20" i="5"/>
  <c r="B54" i="5" s="1"/>
  <c r="C20" i="7"/>
  <c r="C54" i="7" s="1"/>
  <c r="C33" i="7"/>
  <c r="C35" i="7" s="1"/>
  <c r="C20" i="2"/>
  <c r="C54" i="2" s="1"/>
  <c r="C33" i="2"/>
  <c r="C54" i="4"/>
  <c r="B20" i="4"/>
  <c r="B54" i="4" s="1"/>
  <c r="C20" i="3"/>
  <c r="C54" i="3" s="1"/>
  <c r="C33" i="3"/>
  <c r="C35" i="3" s="1"/>
  <c r="C41" i="7"/>
  <c r="C41" i="3"/>
  <c r="B64" i="5"/>
  <c r="C65" i="7"/>
  <c r="C62" i="7"/>
  <c r="C40" i="7"/>
  <c r="C65" i="2"/>
  <c r="C62" i="2"/>
  <c r="C44" i="2"/>
  <c r="C40" i="2"/>
  <c r="C65" i="3"/>
  <c r="C62" i="3"/>
  <c r="C40" i="3"/>
  <c r="C34" i="7"/>
  <c r="C34" i="3"/>
  <c r="E19" i="2"/>
  <c r="F19" i="2"/>
  <c r="G19" i="2"/>
  <c r="D19" i="2"/>
  <c r="E19" i="3"/>
  <c r="F19" i="3"/>
  <c r="G19" i="3"/>
  <c r="D19" i="3"/>
  <c r="E19" i="7"/>
  <c r="F19" i="7"/>
  <c r="G19" i="7"/>
  <c r="D19" i="7"/>
  <c r="C35" i="2" l="1"/>
  <c r="D17" i="7"/>
  <c r="E17" i="7"/>
  <c r="F17" i="7"/>
  <c r="G17" i="7"/>
  <c r="D18" i="7"/>
  <c r="E18" i="7"/>
  <c r="E20" i="7" s="1"/>
  <c r="F18" i="7"/>
  <c r="F20" i="7" s="1"/>
  <c r="G18" i="7"/>
  <c r="G20" i="7" s="1"/>
  <c r="E16" i="7"/>
  <c r="F16" i="7"/>
  <c r="G16" i="7"/>
  <c r="D16" i="7"/>
  <c r="D11" i="7"/>
  <c r="E11" i="7"/>
  <c r="F11" i="7"/>
  <c r="G11" i="7"/>
  <c r="D12" i="7"/>
  <c r="E12" i="7"/>
  <c r="B12" i="7" s="1"/>
  <c r="F12" i="7"/>
  <c r="G12" i="7"/>
  <c r="E10" i="7"/>
  <c r="F10" i="7"/>
  <c r="G10" i="7"/>
  <c r="D10" i="7"/>
  <c r="B19" i="7"/>
  <c r="B17" i="7"/>
  <c r="B13" i="7"/>
  <c r="D17" i="3"/>
  <c r="E17" i="3"/>
  <c r="F17" i="3"/>
  <c r="G17" i="3"/>
  <c r="D18" i="3"/>
  <c r="E18" i="3"/>
  <c r="E20" i="3" s="1"/>
  <c r="F18" i="3"/>
  <c r="F20" i="3" s="1"/>
  <c r="G18" i="3"/>
  <c r="G20" i="3" s="1"/>
  <c r="E16" i="3"/>
  <c r="F16" i="3"/>
  <c r="G16" i="3"/>
  <c r="D16" i="3"/>
  <c r="D11" i="3"/>
  <c r="E11" i="3"/>
  <c r="B11" i="3" s="1"/>
  <c r="F11" i="3"/>
  <c r="G11" i="3"/>
  <c r="D12" i="3"/>
  <c r="E12" i="3"/>
  <c r="F12" i="3"/>
  <c r="G12" i="3"/>
  <c r="E10" i="3"/>
  <c r="F10" i="3"/>
  <c r="G10" i="3"/>
  <c r="D10" i="3"/>
  <c r="B19" i="3"/>
  <c r="B17" i="3"/>
  <c r="B13" i="3"/>
  <c r="D17" i="2"/>
  <c r="E17" i="2"/>
  <c r="B17" i="2" s="1"/>
  <c r="F17" i="2"/>
  <c r="G17" i="2"/>
  <c r="D18" i="2"/>
  <c r="E18" i="2"/>
  <c r="E20" i="2" s="1"/>
  <c r="F18" i="2"/>
  <c r="F20" i="2" s="1"/>
  <c r="G18" i="2"/>
  <c r="G20" i="2" s="1"/>
  <c r="E16" i="2"/>
  <c r="F16" i="2"/>
  <c r="B16" i="2" s="1"/>
  <c r="G16" i="2"/>
  <c r="D16" i="2"/>
  <c r="F11" i="2"/>
  <c r="G11" i="2"/>
  <c r="B11" i="2" s="1"/>
  <c r="F12" i="2"/>
  <c r="G12" i="2"/>
  <c r="F10" i="2"/>
  <c r="G10" i="2"/>
  <c r="B19" i="2"/>
  <c r="B13" i="2"/>
  <c r="B12" i="2"/>
  <c r="B20" i="6"/>
  <c r="B19" i="6"/>
  <c r="B18" i="6"/>
  <c r="B17" i="6"/>
  <c r="B57" i="6"/>
  <c r="B10" i="3" l="1"/>
  <c r="B16" i="3"/>
  <c r="B70" i="6"/>
  <c r="B63" i="6"/>
  <c r="B66" i="6"/>
  <c r="B50" i="6"/>
  <c r="B51" i="6" s="1"/>
  <c r="B54" i="6"/>
  <c r="B18" i="2"/>
  <c r="B45" i="2" s="1"/>
  <c r="D20" i="2"/>
  <c r="C50" i="2"/>
  <c r="C51" i="2" s="1"/>
  <c r="C66" i="2"/>
  <c r="C63" i="2"/>
  <c r="C45" i="2"/>
  <c r="C46" i="2" s="1"/>
  <c r="D20" i="3"/>
  <c r="C45" i="3"/>
  <c r="C66" i="3"/>
  <c r="C63" i="3"/>
  <c r="C50" i="3"/>
  <c r="D20" i="7"/>
  <c r="B20" i="7" s="1"/>
  <c r="C45" i="7"/>
  <c r="C66" i="7"/>
  <c r="C50" i="7"/>
  <c r="C63" i="7"/>
  <c r="C44" i="3"/>
  <c r="C57" i="3"/>
  <c r="C49" i="3"/>
  <c r="C51" i="3" s="1"/>
  <c r="C57" i="7"/>
  <c r="C49" i="7"/>
  <c r="C51" i="7" s="1"/>
  <c r="C44" i="7"/>
  <c r="C46" i="7" s="1"/>
  <c r="B49" i="7"/>
  <c r="B65" i="6"/>
  <c r="B62" i="6"/>
  <c r="B45" i="6"/>
  <c r="B46" i="6" s="1"/>
  <c r="B63" i="2"/>
  <c r="B49" i="2"/>
  <c r="B66" i="2"/>
  <c r="B65" i="2"/>
  <c r="B62" i="2"/>
  <c r="B44" i="2"/>
  <c r="B65" i="3"/>
  <c r="B62" i="3"/>
  <c r="B10" i="2"/>
  <c r="B57" i="2" s="1"/>
  <c r="B18" i="3"/>
  <c r="B12" i="3"/>
  <c r="B44" i="3" s="1"/>
  <c r="B11" i="7"/>
  <c r="B18" i="7"/>
  <c r="B10" i="7"/>
  <c r="B57" i="7" s="1"/>
  <c r="B16" i="7"/>
  <c r="B20" i="2"/>
  <c r="B54" i="2" s="1"/>
  <c r="B20" i="3"/>
  <c r="B54" i="3" s="1"/>
  <c r="B29" i="3"/>
  <c r="B29" i="2"/>
  <c r="B29" i="1"/>
  <c r="B29" i="6"/>
  <c r="B29" i="5"/>
  <c r="B29" i="4"/>
  <c r="B29" i="7"/>
  <c r="C46" i="3" l="1"/>
  <c r="C64" i="3" s="1"/>
  <c r="C64" i="2"/>
  <c r="C64" i="7"/>
  <c r="B50" i="2"/>
  <c r="B51" i="2" s="1"/>
  <c r="B46" i="2"/>
  <c r="B54" i="7"/>
  <c r="B66" i="7"/>
  <c r="B63" i="7"/>
  <c r="B50" i="7"/>
  <c r="B51" i="7" s="1"/>
  <c r="B50" i="3"/>
  <c r="B45" i="3"/>
  <c r="B46" i="3" s="1"/>
  <c r="B45" i="7"/>
  <c r="B66" i="3"/>
  <c r="B63" i="3"/>
  <c r="B49" i="3"/>
  <c r="B51" i="3" s="1"/>
  <c r="B57" i="3"/>
  <c r="B64" i="6"/>
  <c r="B44" i="7"/>
  <c r="B65" i="7"/>
  <c r="B62" i="7"/>
  <c r="B64" i="2"/>
  <c r="D63" i="4"/>
  <c r="B46" i="7" l="1"/>
  <c r="B64" i="3"/>
  <c r="B64" i="7"/>
  <c r="E40" i="4"/>
  <c r="B40" i="4" s="1"/>
  <c r="D40" i="4"/>
  <c r="F45" i="4" l="1"/>
  <c r="F46" i="4" s="1"/>
  <c r="F41" i="7" l="1"/>
  <c r="F40" i="7"/>
  <c r="F41" i="3"/>
  <c r="F40" i="3"/>
  <c r="F41" i="2"/>
  <c r="F40" i="2"/>
  <c r="E66" i="1"/>
  <c r="D66" i="1"/>
  <c r="E65" i="1"/>
  <c r="D65" i="1"/>
  <c r="E63" i="1"/>
  <c r="D63" i="1"/>
  <c r="E62" i="1"/>
  <c r="D62" i="1"/>
  <c r="E57" i="1"/>
  <c r="D57" i="1"/>
  <c r="F54" i="1"/>
  <c r="E54" i="1"/>
  <c r="G50" i="1"/>
  <c r="F50" i="1"/>
  <c r="E50" i="1"/>
  <c r="D50" i="1"/>
  <c r="E49" i="1"/>
  <c r="E51" i="1" s="1"/>
  <c r="D49" i="1"/>
  <c r="D51" i="1" s="1"/>
  <c r="G45" i="1"/>
  <c r="F45" i="1"/>
  <c r="E45" i="1"/>
  <c r="D45" i="1"/>
  <c r="E44" i="1"/>
  <c r="E46" i="1" s="1"/>
  <c r="D44" i="1"/>
  <c r="D46" i="1" s="1"/>
  <c r="F41" i="1"/>
  <c r="E41" i="1"/>
  <c r="B41" i="1" s="1"/>
  <c r="D41" i="1"/>
  <c r="F40" i="1"/>
  <c r="E40" i="1"/>
  <c r="B40" i="1" s="1"/>
  <c r="D40" i="1"/>
  <c r="E66" i="6"/>
  <c r="D66" i="6"/>
  <c r="E65" i="6"/>
  <c r="D65" i="6"/>
  <c r="E63" i="6"/>
  <c r="D63" i="6"/>
  <c r="E62" i="6"/>
  <c r="D62" i="6"/>
  <c r="E57" i="6"/>
  <c r="D57" i="6"/>
  <c r="F54" i="6"/>
  <c r="E54" i="6"/>
  <c r="D54" i="6"/>
  <c r="G50" i="6"/>
  <c r="F50" i="6"/>
  <c r="E50" i="6"/>
  <c r="D50" i="6"/>
  <c r="E49" i="6"/>
  <c r="D49" i="6"/>
  <c r="G45" i="6"/>
  <c r="F45" i="6"/>
  <c r="E45" i="6"/>
  <c r="D45" i="6"/>
  <c r="E44" i="6"/>
  <c r="E46" i="6" s="1"/>
  <c r="D44" i="6"/>
  <c r="D46" i="6" s="1"/>
  <c r="F41" i="6"/>
  <c r="E41" i="6"/>
  <c r="B41" i="6" s="1"/>
  <c r="D41" i="6"/>
  <c r="F40" i="6"/>
  <c r="E40" i="6"/>
  <c r="B40" i="6" s="1"/>
  <c r="D40" i="6"/>
  <c r="B32" i="5"/>
  <c r="E66" i="5"/>
  <c r="D66" i="5"/>
  <c r="E65" i="5"/>
  <c r="D65" i="5"/>
  <c r="E63" i="5"/>
  <c r="D63" i="5"/>
  <c r="E62" i="5"/>
  <c r="D62" i="5"/>
  <c r="E57" i="5"/>
  <c r="D57" i="5"/>
  <c r="G50" i="5"/>
  <c r="G51" i="5" s="1"/>
  <c r="F50" i="5"/>
  <c r="F51" i="5" s="1"/>
  <c r="E50" i="5"/>
  <c r="D50" i="5"/>
  <c r="E49" i="5"/>
  <c r="E51" i="5" s="1"/>
  <c r="D49" i="5"/>
  <c r="G45" i="5"/>
  <c r="G46" i="5" s="1"/>
  <c r="F45" i="5"/>
  <c r="F46" i="5" s="1"/>
  <c r="E45" i="5"/>
  <c r="D45" i="5"/>
  <c r="E44" i="5"/>
  <c r="D44" i="5"/>
  <c r="D46" i="5" s="1"/>
  <c r="F41" i="5"/>
  <c r="E41" i="5"/>
  <c r="B41" i="5" s="1"/>
  <c r="D41" i="5"/>
  <c r="F40" i="5"/>
  <c r="E40" i="5"/>
  <c r="B40" i="5" s="1"/>
  <c r="D40" i="5"/>
  <c r="E63" i="4"/>
  <c r="D62" i="4"/>
  <c r="E62" i="4"/>
  <c r="D66" i="4"/>
  <c r="E66" i="4"/>
  <c r="D65" i="4"/>
  <c r="E65" i="4"/>
  <c r="D51" i="6" l="1"/>
  <c r="E51" i="6"/>
  <c r="E46" i="5"/>
  <c r="D54" i="1"/>
  <c r="D51" i="5"/>
  <c r="E64" i="1"/>
  <c r="D64" i="1"/>
  <c r="E64" i="6"/>
  <c r="D64" i="6"/>
  <c r="E64" i="5"/>
  <c r="D64" i="5"/>
  <c r="D49" i="4" l="1"/>
  <c r="E49" i="4"/>
  <c r="D41" i="4"/>
  <c r="E41" i="4"/>
  <c r="B41" i="4" s="1"/>
  <c r="D40" i="7"/>
  <c r="E40" i="7"/>
  <c r="B40" i="7" s="1"/>
  <c r="D40" i="3"/>
  <c r="E40" i="3"/>
  <c r="B40" i="3" s="1"/>
  <c r="D40" i="2"/>
  <c r="E40" i="2"/>
  <c r="B40" i="2" s="1"/>
  <c r="E49" i="2" l="1"/>
  <c r="E57" i="2"/>
  <c r="E44" i="2"/>
  <c r="E41" i="2"/>
  <c r="B41" i="2" s="1"/>
  <c r="E49" i="3"/>
  <c r="E57" i="3"/>
  <c r="E44" i="3"/>
  <c r="E41" i="3"/>
  <c r="B41" i="3" s="1"/>
  <c r="E49" i="7"/>
  <c r="E57" i="7"/>
  <c r="E44" i="7"/>
  <c r="E41" i="7"/>
  <c r="B41" i="7" s="1"/>
  <c r="D44" i="2"/>
  <c r="D41" i="2"/>
  <c r="D49" i="2"/>
  <c r="D57" i="2"/>
  <c r="D44" i="3"/>
  <c r="D41" i="3"/>
  <c r="D49" i="3"/>
  <c r="D57" i="3"/>
  <c r="D49" i="7"/>
  <c r="D57" i="7"/>
  <c r="D44" i="7"/>
  <c r="D41" i="7"/>
  <c r="E54" i="4" l="1"/>
  <c r="D54" i="4"/>
  <c r="F54" i="4"/>
  <c r="B33" i="4"/>
  <c r="B32" i="4"/>
  <c r="B34" i="4" s="1"/>
  <c r="B58" i="4" l="1"/>
  <c r="E62" i="2"/>
  <c r="E65" i="2"/>
  <c r="D63" i="2"/>
  <c r="D66" i="2"/>
  <c r="D45" i="2"/>
  <c r="D46" i="2" s="1"/>
  <c r="D50" i="2"/>
  <c r="D51" i="2" s="1"/>
  <c r="E50" i="2"/>
  <c r="E51" i="2" s="1"/>
  <c r="E63" i="2"/>
  <c r="E66" i="2"/>
  <c r="E45" i="2"/>
  <c r="E46" i="2" s="1"/>
  <c r="D45" i="3"/>
  <c r="D46" i="3" s="1"/>
  <c r="D63" i="3"/>
  <c r="D66" i="3"/>
  <c r="D50" i="3"/>
  <c r="D51" i="3" s="1"/>
  <c r="E63" i="3"/>
  <c r="E66" i="3"/>
  <c r="E50" i="3"/>
  <c r="E51" i="3" s="1"/>
  <c r="E45" i="3"/>
  <c r="E46" i="3" s="1"/>
  <c r="D50" i="7"/>
  <c r="D51" i="7" s="1"/>
  <c r="D63" i="7"/>
  <c r="D66" i="7"/>
  <c r="D45" i="7"/>
  <c r="D46" i="7" s="1"/>
  <c r="E63" i="7"/>
  <c r="E66" i="7"/>
  <c r="E45" i="7"/>
  <c r="E46" i="7" s="1"/>
  <c r="E50" i="7"/>
  <c r="E51" i="7" s="1"/>
  <c r="D62" i="2"/>
  <c r="D65" i="2"/>
  <c r="F45" i="2"/>
  <c r="F50" i="2"/>
  <c r="D62" i="3"/>
  <c r="D65" i="3"/>
  <c r="E62" i="3"/>
  <c r="E65" i="3"/>
  <c r="F45" i="3"/>
  <c r="F50" i="3"/>
  <c r="D62" i="7"/>
  <c r="D65" i="7"/>
  <c r="E62" i="7"/>
  <c r="E65" i="7"/>
  <c r="F50" i="7"/>
  <c r="F45" i="7"/>
  <c r="G50" i="2"/>
  <c r="G45" i="2"/>
  <c r="G50" i="3"/>
  <c r="G45" i="3"/>
  <c r="G45" i="7"/>
  <c r="G50" i="7"/>
  <c r="B24" i="7"/>
  <c r="B70" i="7" s="1"/>
  <c r="B24" i="3"/>
  <c r="B70" i="3" s="1"/>
  <c r="B24" i="2"/>
  <c r="B70" i="2" s="1"/>
  <c r="D64" i="7" l="1"/>
  <c r="E64" i="7"/>
  <c r="E64" i="3"/>
  <c r="D64" i="3"/>
  <c r="D64" i="2"/>
  <c r="E64" i="2"/>
  <c r="B23" i="2"/>
  <c r="B69" i="2" s="1"/>
  <c r="B23" i="7"/>
  <c r="B69" i="7" s="1"/>
  <c r="B23" i="1" l="1"/>
  <c r="B69" i="1" s="1"/>
  <c r="G33" i="7"/>
  <c r="F33" i="7"/>
  <c r="E33" i="7"/>
  <c r="D33" i="7"/>
  <c r="B33" i="7"/>
  <c r="G32" i="7"/>
  <c r="F32" i="7"/>
  <c r="G33" i="3"/>
  <c r="F33" i="3"/>
  <c r="E33" i="3"/>
  <c r="D33" i="3"/>
  <c r="C58" i="3" s="1"/>
  <c r="G32" i="3"/>
  <c r="F32" i="3"/>
  <c r="F58" i="3" s="1"/>
  <c r="G33" i="2"/>
  <c r="F33" i="2"/>
  <c r="E33" i="2"/>
  <c r="D33" i="2"/>
  <c r="B33" i="2"/>
  <c r="G32" i="2"/>
  <c r="F32" i="2"/>
  <c r="D35" i="2" l="1"/>
  <c r="C59" i="2" s="1"/>
  <c r="C58" i="2"/>
  <c r="D35" i="7"/>
  <c r="C59" i="7" s="1"/>
  <c r="C58" i="7"/>
  <c r="F58" i="7"/>
  <c r="G58" i="7"/>
  <c r="F58" i="2"/>
  <c r="G58" i="2"/>
  <c r="G58" i="3"/>
  <c r="E35" i="3"/>
  <c r="E35" i="2"/>
  <c r="B33" i="3"/>
  <c r="E35" i="7"/>
  <c r="D35" i="3"/>
  <c r="C59" i="3" s="1"/>
  <c r="B23" i="3"/>
  <c r="B69" i="3" s="1"/>
  <c r="B35" i="2"/>
  <c r="B35" i="7" l="1"/>
  <c r="B35" i="3"/>
  <c r="G33" i="1" l="1"/>
  <c r="F33" i="1"/>
  <c r="E33" i="1"/>
  <c r="D33" i="1"/>
  <c r="C58" i="1" s="1"/>
  <c r="B33" i="1"/>
  <c r="G32" i="1"/>
  <c r="F32" i="1"/>
  <c r="E32" i="1"/>
  <c r="E34" i="1" s="1"/>
  <c r="D32" i="1"/>
  <c r="D34" i="1" s="1"/>
  <c r="B32" i="1"/>
  <c r="G33" i="6"/>
  <c r="F33" i="6"/>
  <c r="E33" i="6"/>
  <c r="D33" i="6"/>
  <c r="C58" i="6" s="1"/>
  <c r="G32" i="6"/>
  <c r="F32" i="6"/>
  <c r="E32" i="6"/>
  <c r="E34" i="6" s="1"/>
  <c r="D32" i="6"/>
  <c r="D34" i="6" s="1"/>
  <c r="B32" i="6"/>
  <c r="G33" i="5"/>
  <c r="F33" i="5"/>
  <c r="E33" i="5"/>
  <c r="D33" i="5"/>
  <c r="C58" i="5" s="1"/>
  <c r="G32" i="5"/>
  <c r="G58" i="5" s="1"/>
  <c r="F32" i="5"/>
  <c r="F58" i="5" s="1"/>
  <c r="E57" i="4"/>
  <c r="D57" i="4"/>
  <c r="G50" i="4"/>
  <c r="G51" i="4" s="1"/>
  <c r="F50" i="4"/>
  <c r="F51" i="4" s="1"/>
  <c r="E50" i="4"/>
  <c r="D50" i="4"/>
  <c r="G45" i="4"/>
  <c r="G46" i="4" s="1"/>
  <c r="E45" i="4"/>
  <c r="D45" i="4"/>
  <c r="E44" i="4"/>
  <c r="D44" i="4"/>
  <c r="G33" i="4"/>
  <c r="F33" i="4"/>
  <c r="E33" i="4"/>
  <c r="D33" i="4"/>
  <c r="B35" i="4"/>
  <c r="B59" i="4" s="1"/>
  <c r="G32" i="4"/>
  <c r="F32" i="4"/>
  <c r="E32" i="4"/>
  <c r="E34" i="4" s="1"/>
  <c r="D32" i="4"/>
  <c r="D34" i="4" s="1"/>
  <c r="B34" i="1" l="1"/>
  <c r="B58" i="1"/>
  <c r="D46" i="4"/>
  <c r="E46" i="4"/>
  <c r="E64" i="4" s="1"/>
  <c r="E35" i="4"/>
  <c r="E59" i="4" s="1"/>
  <c r="E58" i="4"/>
  <c r="D54" i="5"/>
  <c r="D54" i="2"/>
  <c r="F54" i="5"/>
  <c r="F54" i="2"/>
  <c r="F54" i="3"/>
  <c r="F54" i="7"/>
  <c r="B23" i="6"/>
  <c r="B69" i="6" s="1"/>
  <c r="B35" i="1"/>
  <c r="E35" i="1"/>
  <c r="E59" i="1" s="1"/>
  <c r="E58" i="1"/>
  <c r="E58" i="6"/>
  <c r="G58" i="6"/>
  <c r="G58" i="1"/>
  <c r="D35" i="4"/>
  <c r="D58" i="4"/>
  <c r="B33" i="5"/>
  <c r="B58" i="5" s="1"/>
  <c r="E54" i="5"/>
  <c r="E54" i="7"/>
  <c r="E54" i="2"/>
  <c r="E54" i="3"/>
  <c r="D35" i="6"/>
  <c r="D58" i="6"/>
  <c r="D35" i="1"/>
  <c r="D58" i="1"/>
  <c r="F58" i="4"/>
  <c r="F58" i="6"/>
  <c r="F58" i="1"/>
  <c r="G58" i="4"/>
  <c r="D35" i="5"/>
  <c r="C59" i="5" s="1"/>
  <c r="E51" i="4"/>
  <c r="D51" i="4"/>
  <c r="B34" i="6"/>
  <c r="B33" i="6"/>
  <c r="B58" i="6" s="1"/>
  <c r="E35" i="6"/>
  <c r="E59" i="6" s="1"/>
  <c r="B23" i="5"/>
  <c r="B69" i="5" s="1"/>
  <c r="D32" i="5"/>
  <c r="E35" i="5"/>
  <c r="D64" i="4"/>
  <c r="D59" i="1" l="1"/>
  <c r="C59" i="1"/>
  <c r="D59" i="6"/>
  <c r="C59" i="6"/>
  <c r="D59" i="4"/>
  <c r="C59" i="4"/>
  <c r="B59" i="1"/>
  <c r="D54" i="7"/>
  <c r="B34" i="5"/>
  <c r="D54" i="3"/>
  <c r="D34" i="5"/>
  <c r="D59" i="5" s="1"/>
  <c r="D58" i="5"/>
  <c r="B35" i="5"/>
  <c r="B59" i="5" s="1"/>
  <c r="D32" i="3"/>
  <c r="E32" i="5"/>
  <c r="E58" i="5" s="1"/>
  <c r="D32" i="2"/>
  <c r="D32" i="7"/>
  <c r="B35" i="6"/>
  <c r="B59" i="6" s="1"/>
  <c r="D34" i="3" l="1"/>
  <c r="D59" i="3" s="1"/>
  <c r="D58" i="3"/>
  <c r="D34" i="7"/>
  <c r="D59" i="7" s="1"/>
  <c r="D58" i="7"/>
  <c r="D34" i="2"/>
  <c r="D59" i="2" s="1"/>
  <c r="D58" i="2"/>
  <c r="B32" i="2"/>
  <c r="B58" i="2" s="1"/>
  <c r="E32" i="2"/>
  <c r="E34" i="5"/>
  <c r="E59" i="5" s="1"/>
  <c r="B32" i="7"/>
  <c r="B58" i="7" s="1"/>
  <c r="E32" i="7"/>
  <c r="E32" i="3"/>
  <c r="E34" i="3" l="1"/>
  <c r="E59" i="3" s="1"/>
  <c r="E58" i="3"/>
  <c r="E34" i="2"/>
  <c r="E59" i="2" s="1"/>
  <c r="E58" i="2"/>
  <c r="E34" i="7"/>
  <c r="E59" i="7" s="1"/>
  <c r="E58" i="7"/>
  <c r="B34" i="7"/>
  <c r="B59" i="7" s="1"/>
  <c r="B34" i="2"/>
  <c r="B59" i="2" s="1"/>
  <c r="B32" i="3"/>
  <c r="B58" i="3" s="1"/>
  <c r="B34" i="3" l="1"/>
  <c r="B59" i="3" s="1"/>
</calcChain>
</file>

<file path=xl/comments1.xml><?xml version="1.0" encoding="utf-8"?>
<comments xmlns="http://schemas.openxmlformats.org/spreadsheetml/2006/main">
  <authors>
    <author>Diego Astorga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Promedio de beneficiarios atendidos en el trimestre</t>
        </r>
      </text>
    </comment>
  </commentList>
</comments>
</file>

<file path=xl/comments2.xml><?xml version="1.0" encoding="utf-8"?>
<comments xmlns="http://schemas.openxmlformats.org/spreadsheetml/2006/main">
  <authors>
    <author>Diego Astorga</author>
    <author>catherine.mata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Promedio de beneficiarios atendidos en el trimestre</t>
        </r>
      </text>
    </comment>
    <comment ref="A16" authorId="1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Utilizando el monto promedio por pensión</t>
        </r>
      </text>
    </comment>
  </commentList>
</comments>
</file>

<file path=xl/comments3.xml><?xml version="1.0" encoding="utf-8"?>
<comments xmlns="http://schemas.openxmlformats.org/spreadsheetml/2006/main">
  <authors>
    <author>Diego Astorga</author>
    <author>catherine.mata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Promedio de beneficiarios atendidos en el trimestre</t>
        </r>
      </text>
    </comment>
    <comment ref="A16" authorId="1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Utilizando el monto promedio por pensión</t>
        </r>
      </text>
    </comment>
  </commentList>
</comments>
</file>

<file path=xl/comments4.xml><?xml version="1.0" encoding="utf-8"?>
<comments xmlns="http://schemas.openxmlformats.org/spreadsheetml/2006/main">
  <authors>
    <author>Diego Astorga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Promedio de beneficiarios atendidos en el trimestre</t>
        </r>
      </text>
    </comment>
  </commentList>
</comments>
</file>

<file path=xl/comments5.xml><?xml version="1.0" encoding="utf-8"?>
<comments xmlns="http://schemas.openxmlformats.org/spreadsheetml/2006/main">
  <authors>
    <author>Diego Astorga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Promedio de beneficiarios atendidos en el trimestre</t>
        </r>
      </text>
    </comment>
  </commentList>
</comments>
</file>

<file path=xl/comments6.xml><?xml version="1.0" encoding="utf-8"?>
<comments xmlns="http://schemas.openxmlformats.org/spreadsheetml/2006/main">
  <authors>
    <author>Diego Astorga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Promedio de beneficiarios atendidos en el trimestre</t>
        </r>
      </text>
    </comment>
  </commentList>
</comments>
</file>

<file path=xl/comments7.xml><?xml version="1.0" encoding="utf-8"?>
<comments xmlns="http://schemas.openxmlformats.org/spreadsheetml/2006/main">
  <authors>
    <author>Diego Astorga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Promedio de beneficiarios atendidos en el trimestre</t>
        </r>
      </text>
    </comment>
  </commentList>
</comments>
</file>

<file path=xl/sharedStrings.xml><?xml version="1.0" encoding="utf-8"?>
<sst xmlns="http://schemas.openxmlformats.org/spreadsheetml/2006/main" count="484" uniqueCount="126">
  <si>
    <t>Indicador</t>
  </si>
  <si>
    <t>Productos</t>
  </si>
  <si>
    <t>Cuotas SS</t>
  </si>
  <si>
    <t>Otros gastos</t>
  </si>
  <si>
    <t>Insumos</t>
  </si>
  <si>
    <t>Efectivos 1T 2011</t>
  </si>
  <si>
    <t>Gasto FODESAF</t>
  </si>
  <si>
    <t>Ingresos FODESAF</t>
  </si>
  <si>
    <t>Otros insumos</t>
  </si>
  <si>
    <t>IPC (1T 2011)</t>
  </si>
  <si>
    <t>Población objetivo</t>
  </si>
  <si>
    <t>Cálculos intermedios</t>
  </si>
  <si>
    <t>Gasto efectivo real 1T 2011</t>
  </si>
  <si>
    <t>Gasto efectivo real por beneficiario 1T 2011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</si>
  <si>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</si>
  <si>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</si>
  <si>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</si>
  <si>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</si>
  <si>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</si>
  <si>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</si>
  <si>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</si>
  <si>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</si>
  <si>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</si>
  <si>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</si>
  <si>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</si>
  <si>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</si>
  <si>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</si>
  <si>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</si>
  <si>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</si>
  <si>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</si>
  <si>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</si>
  <si>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</si>
  <si>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</si>
  <si>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</si>
  <si>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</si>
  <si>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</si>
  <si>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Efectivos 2T 2011</t>
  </si>
  <si>
    <t>IPC (2T 2011)</t>
  </si>
  <si>
    <t>Gasto efectivo real 2T 2011</t>
  </si>
  <si>
    <t>Gasto efectivo real por beneficiario 2T 2011</t>
  </si>
  <si>
    <t>Fuentes:</t>
  </si>
  <si>
    <t>Efectivos 3T 2011</t>
  </si>
  <si>
    <t>IPC (3T 2011)</t>
  </si>
  <si>
    <t>Gasto efectivo real 3T 2011</t>
  </si>
  <si>
    <t>Gasto efectivo real por beneficiario 3T 2011</t>
  </si>
  <si>
    <t>Efectivos 4T 2011</t>
  </si>
  <si>
    <t>IPC (4T 2011)</t>
  </si>
  <si>
    <t>Gasto efectivo real 4T 2011</t>
  </si>
  <si>
    <t>Gasto efectivo real por beneficiario 4T 2011</t>
  </si>
  <si>
    <t>Efectivos 1S 2011</t>
  </si>
  <si>
    <t>IPC (1S 2011)</t>
  </si>
  <si>
    <t>Gasto efectivo real 1S 2011</t>
  </si>
  <si>
    <t>Gasto efectivo real por beneficiario 1S 2011</t>
  </si>
  <si>
    <t>Efectivos  2011</t>
  </si>
  <si>
    <t>IPC ( 2011)</t>
  </si>
  <si>
    <t>Gasto efectivo real  2011</t>
  </si>
  <si>
    <t>Gasto efectivo real por beneficiario  2011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</si>
  <si>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</si>
  <si>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</si>
  <si>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</si>
  <si>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</si>
  <si>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</si>
  <si>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>Total Programa</t>
  </si>
  <si>
    <t>Pensión Ordinaria</t>
  </si>
  <si>
    <t>Parálisis Cerebral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</si>
  <si>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</si>
  <si>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</si>
  <si>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</si>
  <si>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</si>
  <si>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 xml:space="preserve">Gasto programado anual por beneficiario (GPB) </t>
  </si>
  <si>
    <t xml:space="preserve">Gasto efectivo anual por beneficiario (GEB) </t>
  </si>
  <si>
    <t xml:space="preserve">Beneficiarios: personas (promedio mensual) </t>
  </si>
  <si>
    <t>En el cuarto Trimestre se incluyen los gastos de aguinaldo</t>
  </si>
  <si>
    <t>Notas:</t>
  </si>
  <si>
    <t>Para cobertura se utiliza el promedio de beneficiarios atendidos en el período.</t>
  </si>
  <si>
    <t>los beneficiarios son los mismos de un mes a otro en su mayoría, sin embargo, puede haber entradas y salidas de algunos beneficiarios</t>
  </si>
  <si>
    <t>Indicadores propuestos aplicado a RNC. Primer trimestre 2012</t>
  </si>
  <si>
    <t>Programados 1T 2012</t>
  </si>
  <si>
    <t>Efectivos 1T 2012</t>
  </si>
  <si>
    <t>Programados año 2012</t>
  </si>
  <si>
    <t>En transferencias 1T 2012</t>
  </si>
  <si>
    <t>IPC (1T 2012)</t>
  </si>
  <si>
    <t>Gasto efectivo real 1T 2012</t>
  </si>
  <si>
    <t>Gasto efectivo real por beneficiario 1T 2012</t>
  </si>
  <si>
    <t>Proyecto de Presupuesto del RNC para el año 2012, CCSS</t>
  </si>
  <si>
    <t>Informes Trimestrales 2012, RNC, CCSS</t>
  </si>
  <si>
    <t>Indicadores propuestos aplicado a RNC. Segundo trimestre 2012</t>
  </si>
  <si>
    <t>Programados 2T 2012</t>
  </si>
  <si>
    <t>Efectivos 2T 2012</t>
  </si>
  <si>
    <t>En transferencias 2T 2012</t>
  </si>
  <si>
    <t>IPC (2T 2012)</t>
  </si>
  <si>
    <t>Gasto efectivo real 2T 2012</t>
  </si>
  <si>
    <t>Gasto efectivo real por beneficiario 2T 2012</t>
  </si>
  <si>
    <t>Indicadores propuestos aplicado a RNC. Tercer trimestre 2012</t>
  </si>
  <si>
    <t>Programados 3T 2012</t>
  </si>
  <si>
    <t>Efectivos 3T 2012</t>
  </si>
  <si>
    <t>En transferencias 3T 2012</t>
  </si>
  <si>
    <t>IPC (3T 2012)</t>
  </si>
  <si>
    <t>Gasto efectivo real 3T 2012</t>
  </si>
  <si>
    <t>Gasto efectivo real por beneficiario 3T 2012</t>
  </si>
  <si>
    <t>Indicadores propuestos aplicado a RNC. Cuarto trimestre 2012</t>
  </si>
  <si>
    <t>Programados 4T 2012</t>
  </si>
  <si>
    <t>Efectivos 4T 2012</t>
  </si>
  <si>
    <t>En transferencias 4T 2012</t>
  </si>
  <si>
    <t>IPC (4T 2012)</t>
  </si>
  <si>
    <t>Gasto efectivo real 4T 2012</t>
  </si>
  <si>
    <t>Gasto efectivo real por beneficiario 4T 2012</t>
  </si>
  <si>
    <t>Indicadores propuestos aplicado a RNC. Primer Semestre 2012</t>
  </si>
  <si>
    <t>Programados 1S 2012</t>
  </si>
  <si>
    <t>Efectivos 1S 2012</t>
  </si>
  <si>
    <t>En transferencias 1S 2012</t>
  </si>
  <si>
    <t>IPC (1S 2012)</t>
  </si>
  <si>
    <t>Gasto efectivo real 1S 2012</t>
  </si>
  <si>
    <t>Gasto efectivo real por beneficiario 1S 2012</t>
  </si>
  <si>
    <t>Indicadores propuestos aplicado a RNC. Tercer trimestre ACUMULADO 2012</t>
  </si>
  <si>
    <t>Programados  2012</t>
  </si>
  <si>
    <t>Efectivos  2012</t>
  </si>
  <si>
    <t>En transferencias  2012</t>
  </si>
  <si>
    <t>IPC ( 2012)</t>
  </si>
  <si>
    <t>Gasto efectivo real  2012</t>
  </si>
  <si>
    <t>Gasto efectivo real por beneficiario  2012</t>
  </si>
  <si>
    <t>Informe de liquidación presupuestaria a diciembre 2011, RNC. Dirección de Presupuesto, CCSS</t>
  </si>
  <si>
    <t>Adultos Mayores</t>
  </si>
  <si>
    <t>Otros</t>
  </si>
  <si>
    <t>n.d.</t>
  </si>
  <si>
    <t>Indicadores propuestos aplicado a RNC. Año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</si>
</sst>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____"/>
    <numFmt numFmtId="165" formatCode="#,##0.0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0" fillId="0" borderId="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 applyFill="1"/>
    <xf numFmtId="165" fontId="0" fillId="0" borderId="0" xfId="0" applyNumberFormat="1"/>
    <xf numFmtId="43" fontId="0" fillId="0" borderId="0" xfId="1" applyFont="1" applyFill="1"/>
    <xf numFmtId="3" fontId="0" fillId="0" borderId="0" xfId="0" applyNumberFormat="1" applyFill="1"/>
    <xf numFmtId="166" fontId="0" fillId="0" borderId="0" xfId="1" applyNumberFormat="1" applyFont="1" applyFill="1"/>
    <xf numFmtId="0" fontId="0" fillId="0" borderId="0" xfId="0" applyFill="1"/>
    <xf numFmtId="2" fontId="0" fillId="0" borderId="0" xfId="0" applyNumberFormat="1"/>
    <xf numFmtId="0" fontId="0" fillId="0" borderId="2" xfId="0" applyBorder="1" applyAlignment="1">
      <alignment horizontal="center" vertical="center"/>
    </xf>
    <xf numFmtId="166" fontId="6" fillId="0" borderId="0" xfId="1" applyNumberFormat="1" applyFont="1" applyAlignment="1">
      <alignment horizontal="center"/>
    </xf>
    <xf numFmtId="0" fontId="0" fillId="0" borderId="2" xfId="0" applyBorder="1" applyAlignment="1"/>
    <xf numFmtId="0" fontId="7" fillId="0" borderId="0" xfId="0" applyFont="1" applyFill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indent="1"/>
    </xf>
    <xf numFmtId="2" fontId="0" fillId="0" borderId="0" xfId="0" applyNumberFormat="1" applyFill="1"/>
    <xf numFmtId="0" fontId="2" fillId="0" borderId="0" xfId="0" applyFont="1" applyFill="1"/>
    <xf numFmtId="0" fontId="0" fillId="0" borderId="3" xfId="0" applyFill="1" applyBorder="1"/>
    <xf numFmtId="165" fontId="0" fillId="0" borderId="0" xfId="0" applyNumberFormat="1" applyFill="1"/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/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6" fontId="6" fillId="0" borderId="0" xfId="1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'III Trimestre'!$A$69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'III Trimestre'!$B$4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'III Trimestre'!$B$69</c:f>
              <c:numCache>
                <c:formatCode>#,##0.0____</c:formatCode>
                <c:ptCount val="1"/>
                <c:pt idx="0">
                  <c:v>1081.0242452113198</c:v>
                </c:pt>
              </c:numCache>
            </c:numRef>
          </c:val>
        </c:ser>
        <c:ser>
          <c:idx val="1"/>
          <c:order val="1"/>
          <c:tx>
            <c:strRef>
              <c:f>'III Trimestre'!$A$70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'III Trimestre'!$B$4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'III Trimestre'!$B$70</c:f>
              <c:numCache>
                <c:formatCode>#,##0.0____</c:formatCode>
                <c:ptCount val="1"/>
                <c:pt idx="0">
                  <c:v>51.311258212112932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729024"/>
        <c:axId val="293729416"/>
      </c:barChart>
      <c:catAx>
        <c:axId val="29372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3729416"/>
        <c:crosses val="autoZero"/>
        <c:auto val="1"/>
        <c:lblAlgn val="ctr"/>
        <c:lblOffset val="100"/>
        <c:noMultiLvlLbl val="0"/>
      </c:catAx>
      <c:valAx>
        <c:axId val="293729416"/>
        <c:scaling>
          <c:orientation val="minMax"/>
        </c:scaling>
        <c:delete val="0"/>
        <c:axPos val="l"/>
        <c:majorGridlines/>
        <c:numFmt formatCode="#,##0.0____" sourceLinked="1"/>
        <c:majorTickMark val="out"/>
        <c:minorTickMark val="none"/>
        <c:tickLblPos val="nextTo"/>
        <c:crossAx val="293729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1">
                  <c:v>Pensión Ordinaria</c:v>
                </c:pt>
                <c:pt idx="3">
                  <c:v>Parálisis Cerebral</c:v>
                </c:pt>
              </c:strCache>
            </c:strRef>
          </c:cat>
          <c:val>
            <c:numRef>
              <c:f>Anual!$B$40:$E$40</c:f>
              <c:numCache>
                <c:formatCode>#,##0.0____</c:formatCode>
                <c:ptCount val="4"/>
                <c:pt idx="0">
                  <c:v>359.56830122236192</c:v>
                </c:pt>
                <c:pt idx="1">
                  <c:v>379.94021097528463</c:v>
                </c:pt>
                <c:pt idx="2">
                  <c:v>0</c:v>
                </c:pt>
                <c:pt idx="3">
                  <c:v>161.71975032010243</c:v>
                </c:pt>
              </c:numCache>
            </c:numRef>
          </c:val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1">
                  <c:v>Pensión Ordinaria</c:v>
                </c:pt>
                <c:pt idx="3">
                  <c:v>Parálisis Cerebral</c:v>
                </c:pt>
              </c:strCache>
            </c:strRef>
          </c:cat>
          <c:val>
            <c:numRef>
              <c:f>Anual!$B$41:$E$41</c:f>
              <c:numCache>
                <c:formatCode>#,##0.0____</c:formatCode>
                <c:ptCount val="4"/>
                <c:pt idx="0">
                  <c:v>254.22652956121749</c:v>
                </c:pt>
                <c:pt idx="1">
                  <c:v>269.3372854174865</c:v>
                </c:pt>
                <c:pt idx="2">
                  <c:v>0</c:v>
                </c:pt>
                <c:pt idx="3">
                  <c:v>151.93128467776353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151024"/>
        <c:axId val="295151416"/>
      </c:barChart>
      <c:catAx>
        <c:axId val="295151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5151416"/>
        <c:crosses val="autoZero"/>
        <c:auto val="1"/>
        <c:lblAlgn val="ctr"/>
        <c:lblOffset val="100"/>
        <c:noMultiLvlLbl val="0"/>
      </c:catAx>
      <c:valAx>
        <c:axId val="295151416"/>
        <c:scaling>
          <c:orientation val="minMax"/>
        </c:scaling>
        <c:delete val="0"/>
        <c:axPos val="l"/>
        <c:majorGridlines/>
        <c:numFmt formatCode="#,##0.0____" sourceLinked="1"/>
        <c:majorTickMark val="out"/>
        <c:minorTickMark val="none"/>
        <c:tickLblPos val="nextTo"/>
        <c:crossAx val="29515102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9916885389334"/>
          <c:y val="0.34653361038203556"/>
          <c:w val="0.84980314960629921"/>
          <c:h val="0.504129848352289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'I Trimestre'!$B$5:$G$5</c:f>
              <c:strCache>
                <c:ptCount val="4"/>
                <c:pt idx="1">
                  <c:v>Pensión Ordinaria</c:v>
                </c:pt>
                <c:pt idx="3">
                  <c:v>Parálisis Cerebral</c:v>
                </c:pt>
              </c:strCache>
            </c:strRef>
          </c:cat>
          <c:val>
            <c:numRef>
              <c:f>Anual!$B$44:$G$44</c:f>
              <c:numCache>
                <c:formatCode>#,##0.0____</c:formatCode>
                <c:ptCount val="6"/>
                <c:pt idx="0">
                  <c:v>927.10658056428395</c:v>
                </c:pt>
                <c:pt idx="1">
                  <c:v>99.015999817354967</c:v>
                </c:pt>
                <c:pt idx="2">
                  <c:v>0</c:v>
                </c:pt>
                <c:pt idx="3">
                  <c:v>93.947266414297602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'I Trimestre'!$B$5:$G$5</c:f>
              <c:strCache>
                <c:ptCount val="4"/>
                <c:pt idx="1">
                  <c:v>Pensión Ordinaria</c:v>
                </c:pt>
                <c:pt idx="3">
                  <c:v>Parálisis Cerebral</c:v>
                </c:pt>
              </c:strCache>
            </c:strRef>
          </c:cat>
          <c:val>
            <c:numRef>
              <c:f>Anual!$B$45:$G$45</c:f>
              <c:numCache>
                <c:formatCode>#,##0.0____</c:formatCode>
                <c:ptCount val="6"/>
                <c:pt idx="0">
                  <c:v>387.34483653254739</c:v>
                </c:pt>
                <c:pt idx="1">
                  <c:v>67.770048455360936</c:v>
                </c:pt>
                <c:pt idx="2">
                  <c:v>0</c:v>
                </c:pt>
                <c:pt idx="3">
                  <c:v>69.55162187754911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val>
            <c:numRef>
              <c:f>Anual!$B$46:$G$46</c:f>
              <c:numCache>
                <c:formatCode>#,##0.0____</c:formatCode>
                <c:ptCount val="6"/>
                <c:pt idx="0">
                  <c:v>657.2257085484157</c:v>
                </c:pt>
                <c:pt idx="1">
                  <c:v>83.393024136357951</c:v>
                </c:pt>
                <c:pt idx="2">
                  <c:v>0</c:v>
                </c:pt>
                <c:pt idx="3">
                  <c:v>81.749444145923349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152200"/>
        <c:axId val="295152592"/>
      </c:barChart>
      <c:catAx>
        <c:axId val="295152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5152592"/>
        <c:crosses val="autoZero"/>
        <c:auto val="1"/>
        <c:lblAlgn val="ctr"/>
        <c:lblOffset val="100"/>
        <c:noMultiLvlLbl val="0"/>
      </c:catAx>
      <c:valAx>
        <c:axId val="295152592"/>
        <c:scaling>
          <c:orientation val="minMax"/>
        </c:scaling>
        <c:delete val="0"/>
        <c:axPos val="l"/>
        <c:majorGridlines/>
        <c:numFmt formatCode="#,##0.0____" sourceLinked="1"/>
        <c:majorTickMark val="out"/>
        <c:minorTickMark val="none"/>
        <c:tickLblPos val="nextTo"/>
        <c:crossAx val="29515220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'I Trimestre'!$B$5:$G$5</c:f>
              <c:strCache>
                <c:ptCount val="4"/>
                <c:pt idx="1">
                  <c:v>Pensión Ordinaria</c:v>
                </c:pt>
                <c:pt idx="3">
                  <c:v>Parálisis Cerebral</c:v>
                </c:pt>
              </c:strCache>
            </c:strRef>
          </c:cat>
          <c:val>
            <c:numRef>
              <c:f>Anual!$B$49:$G$49</c:f>
              <c:numCache>
                <c:formatCode>#,##0.0____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'I Trimestre'!$B$5:$G$5</c:f>
              <c:strCache>
                <c:ptCount val="4"/>
                <c:pt idx="1">
                  <c:v>Pensión Ordinaria</c:v>
                </c:pt>
                <c:pt idx="3">
                  <c:v>Parálisis Cerebral</c:v>
                </c:pt>
              </c:strCache>
            </c:strRef>
          </c:cat>
          <c:val>
            <c:numRef>
              <c:f>Anual!$B$50:$G$50</c:f>
              <c:numCache>
                <c:formatCode>#,##0.0____</c:formatCode>
                <c:ptCount val="6"/>
                <c:pt idx="0">
                  <c:v>387.34483653254739</c:v>
                </c:pt>
                <c:pt idx="1">
                  <c:v>67.770048455360936</c:v>
                </c:pt>
                <c:pt idx="2">
                  <c:v>0</c:v>
                </c:pt>
                <c:pt idx="3">
                  <c:v>69.55162187754911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'I Trimestre'!$B$5:$G$5</c:f>
              <c:strCache>
                <c:ptCount val="4"/>
                <c:pt idx="1">
                  <c:v>Pensión Ordinaria</c:v>
                </c:pt>
                <c:pt idx="3">
                  <c:v>Parálisis Cerebral</c:v>
                </c:pt>
              </c:strCache>
            </c:strRef>
          </c:cat>
          <c:val>
            <c:numRef>
              <c:f>Anual!$B$51:$G$51</c:f>
              <c:numCache>
                <c:formatCode>#,##0.0____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153376"/>
        <c:axId val="295153768"/>
      </c:barChart>
      <c:catAx>
        <c:axId val="295153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5153768"/>
        <c:crosses val="autoZero"/>
        <c:auto val="1"/>
        <c:lblAlgn val="ctr"/>
        <c:lblOffset val="100"/>
        <c:noMultiLvlLbl val="0"/>
      </c:catAx>
      <c:valAx>
        <c:axId val="295153768"/>
        <c:scaling>
          <c:orientation val="minMax"/>
        </c:scaling>
        <c:delete val="0"/>
        <c:axPos val="l"/>
        <c:majorGridlines/>
        <c:numFmt formatCode="#,##0.0____" sourceLinked="1"/>
        <c:majorTickMark val="out"/>
        <c:minorTickMark val="none"/>
        <c:tickLblPos val="nextTo"/>
        <c:crossAx val="29515337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'I Trimestre'!$B$5:$G$5</c:f>
              <c:strCache>
                <c:ptCount val="4"/>
                <c:pt idx="1">
                  <c:v>Pensión Ordinaria</c:v>
                </c:pt>
                <c:pt idx="3">
                  <c:v>Parálisis Cerebral</c:v>
                </c:pt>
              </c:strCache>
            </c:strRef>
          </c:cat>
          <c:val>
            <c:numRef>
              <c:f>Anual!$B$57:$G$57</c:f>
              <c:numCache>
                <c:formatCode>#,##0.0____</c:formatCode>
                <c:ptCount val="6"/>
                <c:pt idx="0">
                  <c:v>2.9534435165833761</c:v>
                </c:pt>
                <c:pt idx="1">
                  <c:v>44.074989952940882</c:v>
                </c:pt>
                <c:pt idx="2">
                  <c:v>2.335904695817792</c:v>
                </c:pt>
                <c:pt idx="3">
                  <c:v>8.7745767405440702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'I Trimestre'!$B$5:$G$5</c:f>
              <c:strCache>
                <c:ptCount val="4"/>
                <c:pt idx="1">
                  <c:v>Pensión Ordinaria</c:v>
                </c:pt>
                <c:pt idx="3">
                  <c:v>Parálisis Cerebral</c:v>
                </c:pt>
              </c:strCache>
            </c:strRef>
          </c:cat>
          <c:val>
            <c:numRef>
              <c:f>Anual!$B$58:$G$58</c:f>
              <c:numCache>
                <c:formatCode>#,##0.0____</c:formatCode>
                <c:ptCount val="6"/>
                <c:pt idx="0">
                  <c:v>-16.331561178325572</c:v>
                </c:pt>
                <c:pt idx="1">
                  <c:v>-16.455389180428924</c:v>
                </c:pt>
                <c:pt idx="2">
                  <c:v>-0.93364380377221057</c:v>
                </c:pt>
                <c:pt idx="3">
                  <c:v>-24.7497074094296</c:v>
                </c:pt>
                <c:pt idx="4">
                  <c:v>-26.783476254217796</c:v>
                </c:pt>
                <c:pt idx="5">
                  <c:v>-31.798617226316971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'I Trimestre'!$B$5:$G$5</c:f>
              <c:strCache>
                <c:ptCount val="4"/>
                <c:pt idx="1">
                  <c:v>Pensión Ordinaria</c:v>
                </c:pt>
                <c:pt idx="3">
                  <c:v>Parálisis Cerebral</c:v>
                </c:pt>
              </c:strCache>
            </c:strRef>
          </c:cat>
          <c:val>
            <c:numRef>
              <c:f>Anual!$B$59:$G$59</c:f>
              <c:numCache>
                <c:formatCode>#,##0.0____</c:formatCode>
                <c:ptCount val="6"/>
                <c:pt idx="0">
                  <c:v>-18.731772378067735</c:v>
                </c:pt>
                <c:pt idx="1">
                  <c:v>16.042424239982587</c:v>
                </c:pt>
                <c:pt idx="2">
                  <c:v>-3.1949182540657373</c:v>
                </c:pt>
                <c:pt idx="3">
                  <c:v>-30.819962857624262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154552"/>
        <c:axId val="295154944"/>
      </c:barChart>
      <c:catAx>
        <c:axId val="295154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5154944"/>
        <c:crosses val="autoZero"/>
        <c:auto val="1"/>
        <c:lblAlgn val="ctr"/>
        <c:lblOffset val="100"/>
        <c:noMultiLvlLbl val="0"/>
      </c:catAx>
      <c:valAx>
        <c:axId val="295154944"/>
        <c:scaling>
          <c:orientation val="minMax"/>
        </c:scaling>
        <c:delete val="0"/>
        <c:axPos val="l"/>
        <c:majorGridlines/>
        <c:numFmt formatCode="#,##0.0____" sourceLinked="1"/>
        <c:majorTickMark val="out"/>
        <c:minorTickMark val="none"/>
        <c:tickLblPos val="nextTo"/>
        <c:crossAx val="2951545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8.0804548730006018E-2"/>
          <c:y val="3.2185326620190198E-2"/>
          <c:w val="0.84672440944881955"/>
          <c:h val="0.2025404636920385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Gasto mensual programado por beneficiario (GPB) </c:v>
                </c:pt>
              </c:strCache>
            </c:strRef>
          </c:tx>
          <c:invertIfNegative val="0"/>
          <c:cat>
            <c:strRef>
              <c:f>'I Semestre'!$B$5:$E$5</c:f>
              <c:strCache>
                <c:ptCount val="4"/>
                <c:pt idx="1">
                  <c:v>Pensión Ordinaria</c:v>
                </c:pt>
                <c:pt idx="3">
                  <c:v>Parálisis Cerebral</c:v>
                </c:pt>
              </c:strCache>
            </c:strRef>
          </c:cat>
          <c:val>
            <c:numRef>
              <c:f>Anual!$B$62:$E$62</c:f>
              <c:numCache>
                <c:formatCode>#,##0</c:formatCode>
                <c:ptCount val="4"/>
                <c:pt idx="0">
                  <c:v>65811.076923076922</c:v>
                </c:pt>
                <c:pt idx="1">
                  <c:v>21576.923076923078</c:v>
                </c:pt>
                <c:pt idx="2">
                  <c:v>0</c:v>
                </c:pt>
                <c:pt idx="3">
                  <c:v>65811.076923076922</c:v>
                </c:pt>
              </c:numCache>
            </c:numRef>
          </c:val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Gasto mensual efectivo por beneficiario (GEB) </c:v>
                </c:pt>
              </c:strCache>
            </c:strRef>
          </c:tx>
          <c:invertIfNegative val="0"/>
          <c:cat>
            <c:strRef>
              <c:f>'I Semestre'!$B$5:$E$5</c:f>
              <c:strCache>
                <c:ptCount val="4"/>
                <c:pt idx="1">
                  <c:v>Pensión Ordinaria</c:v>
                </c:pt>
                <c:pt idx="3">
                  <c:v>Parálisis Cerebral</c:v>
                </c:pt>
              </c:strCache>
            </c:strRef>
          </c:cat>
          <c:val>
            <c:numRef>
              <c:f>Anual!$B$63:$E$63</c:f>
              <c:numCache>
                <c:formatCode>#,##0</c:formatCode>
                <c:ptCount val="4"/>
                <c:pt idx="0">
                  <c:v>27495.847151990518</c:v>
                </c:pt>
                <c:pt idx="1">
                  <c:v>20627.475992474792</c:v>
                </c:pt>
                <c:pt idx="2">
                  <c:v>14796.986474072315</c:v>
                </c:pt>
                <c:pt idx="3">
                  <c:v>48721.663888791343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825072"/>
        <c:axId val="295825464"/>
      </c:barChart>
      <c:catAx>
        <c:axId val="29582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5825464"/>
        <c:crosses val="autoZero"/>
        <c:auto val="1"/>
        <c:lblAlgn val="ctr"/>
        <c:lblOffset val="100"/>
        <c:noMultiLvlLbl val="0"/>
      </c:catAx>
      <c:valAx>
        <c:axId val="2958254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9582507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invertIfNegative val="0"/>
          <c:cat>
            <c:strRef>
              <c:f>'IV Trimestre'!$B$5:$E$5</c:f>
              <c:strCache>
                <c:ptCount val="4"/>
                <c:pt idx="1">
                  <c:v>Pensión Ordinaria</c:v>
                </c:pt>
                <c:pt idx="3">
                  <c:v>Parálisis Cerebral</c:v>
                </c:pt>
              </c:strCache>
            </c:strRef>
          </c:cat>
          <c:val>
            <c:numRef>
              <c:f>Anual!$B$65:$E$65</c:f>
              <c:numCache>
                <c:formatCode>#,##0</c:formatCode>
                <c:ptCount val="4"/>
                <c:pt idx="0">
                  <c:v>789732.92307692312</c:v>
                </c:pt>
                <c:pt idx="1">
                  <c:v>258923.07692307694</c:v>
                </c:pt>
                <c:pt idx="2">
                  <c:v>0</c:v>
                </c:pt>
                <c:pt idx="3">
                  <c:v>789732.92307692312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invertIfNegative val="0"/>
          <c:cat>
            <c:strRef>
              <c:f>'IV Trimestre'!$B$5:$E$5</c:f>
              <c:strCache>
                <c:ptCount val="4"/>
                <c:pt idx="1">
                  <c:v>Pensión Ordinaria</c:v>
                </c:pt>
                <c:pt idx="3">
                  <c:v>Parálisis Cerebral</c:v>
                </c:pt>
              </c:strCache>
            </c:strRef>
          </c:cat>
          <c:val>
            <c:numRef>
              <c:f>Anual!$B$66:$E$66</c:f>
              <c:numCache>
                <c:formatCode>#,##0</c:formatCode>
                <c:ptCount val="4"/>
                <c:pt idx="0">
                  <c:v>329950.16582388617</c:v>
                </c:pt>
                <c:pt idx="1">
                  <c:v>247529.71190969751</c:v>
                </c:pt>
                <c:pt idx="2">
                  <c:v>177563.83768886779</c:v>
                </c:pt>
                <c:pt idx="3">
                  <c:v>584659.96666549612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826248"/>
        <c:axId val="295826640"/>
      </c:barChart>
      <c:catAx>
        <c:axId val="295826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5826640"/>
        <c:crosses val="autoZero"/>
        <c:auto val="1"/>
        <c:lblAlgn val="ctr"/>
        <c:lblOffset val="100"/>
        <c:noMultiLvlLbl val="0"/>
      </c:catAx>
      <c:valAx>
        <c:axId val="2958266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9582624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'IV Trimestre'!$B$5:$E$5</c:f>
              <c:strCache>
                <c:ptCount val="4"/>
                <c:pt idx="1">
                  <c:v>Pensión Ordinaria</c:v>
                </c:pt>
                <c:pt idx="3">
                  <c:v>Parálisis Cerebral</c:v>
                </c:pt>
              </c:strCache>
            </c:strRef>
          </c:cat>
          <c:val>
            <c:numRef>
              <c:f>Anual!$B$64:$E$64</c:f>
              <c:numCache>
                <c:formatCode>#,##0.0</c:formatCode>
                <c:ptCount val="4"/>
                <c:pt idx="0">
                  <c:v>1573.0641584531904</c:v>
                </c:pt>
                <c:pt idx="1">
                  <c:v>87.231460969758004</c:v>
                </c:pt>
                <c:pt idx="2">
                  <c:v>0</c:v>
                </c:pt>
                <c:pt idx="3">
                  <c:v>110.42354730302718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827424"/>
        <c:axId val="295827816"/>
      </c:barChart>
      <c:catAx>
        <c:axId val="29582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5827816"/>
        <c:crosses val="autoZero"/>
        <c:auto val="1"/>
        <c:lblAlgn val="ctr"/>
        <c:lblOffset val="100"/>
        <c:noMultiLvlLbl val="0"/>
      </c:catAx>
      <c:valAx>
        <c:axId val="295827816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95827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'IV Trimestre'!$B$4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Anual!$B$69</c:f>
              <c:numCache>
                <c:formatCode>#,##0.0____</c:formatCode>
                <c:ptCount val="1"/>
                <c:pt idx="0">
                  <c:v>947.30799576529455</c:v>
                </c:pt>
              </c:numCache>
            </c:numRef>
          </c:val>
        </c:ser>
        <c:ser>
          <c:idx val="1"/>
          <c:order val="1"/>
          <c:tx>
            <c:strRef>
              <c:f>Anual!$A$70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'IV Trimestre'!$B$4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Anual!$B$70</c:f>
              <c:numCache>
                <c:formatCode>#,##0.0____</c:formatCode>
                <c:ptCount val="1"/>
                <c:pt idx="0">
                  <c:v>40.889007404569206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828600"/>
        <c:axId val="295828992"/>
      </c:barChart>
      <c:catAx>
        <c:axId val="295828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5828992"/>
        <c:crosses val="autoZero"/>
        <c:auto val="1"/>
        <c:lblAlgn val="ctr"/>
        <c:lblOffset val="100"/>
        <c:noMultiLvlLbl val="0"/>
      </c:catAx>
      <c:valAx>
        <c:axId val="295828992"/>
        <c:scaling>
          <c:orientation val="minMax"/>
        </c:scaling>
        <c:delete val="0"/>
        <c:axPos val="l"/>
        <c:majorGridlines/>
        <c:numFmt formatCode="#,##0.0____" sourceLinked="1"/>
        <c:majorTickMark val="out"/>
        <c:minorTickMark val="none"/>
        <c:tickLblPos val="nextTo"/>
        <c:crossAx val="295828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1619250</xdr:colOff>
      <xdr:row>94</xdr:row>
      <xdr:rowOff>133350</xdr:rowOff>
    </xdr:from>
    <xdr:to>
      <xdr:col>4</xdr:col>
      <xdr:colOff>304800</xdr:colOff>
      <xdr:row>109</xdr:row>
      <xdr:rowOff>19050</xdr:rowOff>
    </xdr:to>
    <xdr:graphicFrame macro="">
      <xdr:nvGraphicFramePr>
        <xdr:cNvPr id="15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2</xdr:row>
      <xdr:rowOff>166687</xdr:rowOff>
    </xdr:from>
    <xdr:to>
      <xdr:col>13</xdr:col>
      <xdr:colOff>752475</xdr:colOff>
      <xdr:row>17</xdr:row>
      <xdr:rowOff>33337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19</xdr:row>
      <xdr:rowOff>0</xdr:rowOff>
    </xdr:from>
    <xdr:to>
      <xdr:col>14</xdr:col>
      <xdr:colOff>0</xdr:colOff>
      <xdr:row>33</xdr:row>
      <xdr:rowOff>76200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</xdr:colOff>
      <xdr:row>35</xdr:row>
      <xdr:rowOff>0</xdr:rowOff>
    </xdr:from>
    <xdr:to>
      <xdr:col>14</xdr:col>
      <xdr:colOff>9525</xdr:colOff>
      <xdr:row>49</xdr:row>
      <xdr:rowOff>76200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9523</xdr:colOff>
      <xdr:row>50</xdr:row>
      <xdr:rowOff>180975</xdr:rowOff>
    </xdr:from>
    <xdr:to>
      <xdr:col>15</xdr:col>
      <xdr:colOff>266701</xdr:colOff>
      <xdr:row>66</xdr:row>
      <xdr:rowOff>152400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19050</xdr:colOff>
      <xdr:row>67</xdr:row>
      <xdr:rowOff>171450</xdr:rowOff>
    </xdr:from>
    <xdr:to>
      <xdr:col>14</xdr:col>
      <xdr:colOff>19050</xdr:colOff>
      <xdr:row>82</xdr:row>
      <xdr:rowOff>38100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19050</xdr:colOff>
      <xdr:row>84</xdr:row>
      <xdr:rowOff>0</xdr:rowOff>
    </xdr:from>
    <xdr:to>
      <xdr:col>14</xdr:col>
      <xdr:colOff>19050</xdr:colOff>
      <xdr:row>98</xdr:row>
      <xdr:rowOff>76200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409575</xdr:colOff>
      <xdr:row>72</xdr:row>
      <xdr:rowOff>28575</xdr:rowOff>
    </xdr:from>
    <xdr:to>
      <xdr:col>7</xdr:col>
      <xdr:colOff>600075</xdr:colOff>
      <xdr:row>86</xdr:row>
      <xdr:rowOff>104775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400050</xdr:colOff>
      <xdr:row>87</xdr:row>
      <xdr:rowOff>180975</xdr:rowOff>
    </xdr:from>
    <xdr:to>
      <xdr:col>7</xdr:col>
      <xdr:colOff>590550</xdr:colOff>
      <xdr:row>102</xdr:row>
      <xdr:rowOff>66675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304800</xdr:colOff>
      <xdr:row>42</xdr:row>
      <xdr:rowOff>180975</xdr:rowOff>
    </xdr:to>
    <xdr:sp macro="" textlink="">
      <xdr:nvSpPr>
        <xdr:cNvPr id="2" name="1 CuadroTexto"/>
        <xdr:cNvSpPr txBox="1"/>
      </xdr:nvSpPr>
      <xdr:spPr>
        <a:xfrm>
          <a:off x="0" y="0"/>
          <a:ext cx="7924800" cy="818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u="sng">
              <a:solidFill>
                <a:sysClr val="windowText" lastClr="000000"/>
              </a:solidFill>
            </a:rPr>
            <a:t>Observaciones</a:t>
          </a:r>
        </a:p>
        <a:p>
          <a:endParaRPr lang="es-CR" sz="11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 información es proporcionada por las unidades ejecutoras de cada programa. </a:t>
          </a: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deben tomar en cuenta las particularidades de cada programa 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En el caso particular de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Régimen No Contributivo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: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El gasto efectivo promedio para las Pensiones Ordinarias puede ser más bajo que el programado, debido a que se están reportando todos los beneficiarios (Fodesaf más otras fuentes) pero sólo el gasto Fodesaf. No se puede distinguir entre beneficiarios de acuerdo a la fuente de financiamiento.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El último trimestre incluye el pago de aguinaldo.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beneficiarios son los mismos de un mes a otro en su mayoría; sin embargo, puede haber entradas y salidas de algunos beneficiarios.</a:t>
          </a:r>
          <a:r>
            <a:rPr lang="es-CR"/>
            <a:t> </a:t>
          </a:r>
          <a:endParaRPr lang="es-CR" sz="1100" baseline="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recomienda observar la fórmula utilizada en Excel cuando existan dudas sobre algún resultado obtenido.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endParaRPr lang="es-CR" sz="1100"/>
        </a:p>
        <a:p>
          <a:endParaRPr lang="es-CR" sz="1100"/>
        </a:p>
        <a:p>
          <a:endParaRPr lang="es-CR" sz="1100"/>
        </a:p>
        <a:p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0"/>
  <sheetViews>
    <sheetView workbookViewId="0">
      <selection activeCell="B20" sqref="B20"/>
    </sheetView>
  </sheetViews>
  <sheetFormatPr baseColWidth="10" defaultRowHeight="15" x14ac:dyDescent="0.25"/>
  <cols>
    <col min="1" max="1" width="55.140625" style="1" customWidth="1"/>
    <col min="2" max="3" width="16.140625" style="1" customWidth="1"/>
    <col min="4" max="4" width="17" style="1" customWidth="1"/>
    <col min="5" max="5" width="16.42578125" style="1" bestFit="1" customWidth="1"/>
    <col min="6" max="6" width="14.7109375" style="1" bestFit="1" customWidth="1"/>
    <col min="7" max="7" width="17.5703125" style="1" bestFit="1" customWidth="1"/>
    <col min="8" max="16384" width="11.42578125" style="1"/>
  </cols>
  <sheetData>
    <row r="1" spans="1:12" x14ac:dyDescent="0.25">
      <c r="E1" s="17"/>
      <c r="F1" s="12"/>
      <c r="G1" s="12"/>
      <c r="H1" s="12"/>
      <c r="I1" s="12"/>
      <c r="J1" s="12"/>
      <c r="K1" s="12"/>
      <c r="L1" s="12"/>
    </row>
    <row r="2" spans="1:12" ht="15.75" x14ac:dyDescent="0.25">
      <c r="A2" s="20" t="s">
        <v>76</v>
      </c>
      <c r="B2" s="20"/>
      <c r="C2" s="20"/>
      <c r="D2" s="20"/>
      <c r="E2" s="20"/>
      <c r="F2" s="20"/>
      <c r="G2" s="20"/>
    </row>
    <row r="4" spans="1:12" x14ac:dyDescent="0.25">
      <c r="A4" s="18" t="s">
        <v>0</v>
      </c>
      <c r="B4" s="18" t="s">
        <v>62</v>
      </c>
      <c r="C4" s="14"/>
      <c r="D4" s="16" t="s">
        <v>1</v>
      </c>
      <c r="E4" s="16"/>
      <c r="F4" s="18" t="s">
        <v>2</v>
      </c>
      <c r="G4" s="18" t="s">
        <v>3</v>
      </c>
    </row>
    <row r="5" spans="1:12" ht="15.75" thickBot="1" x14ac:dyDescent="0.3">
      <c r="A5" s="19"/>
      <c r="B5" s="19"/>
      <c r="C5" s="21" t="s">
        <v>63</v>
      </c>
      <c r="D5" s="21"/>
      <c r="E5" s="2" t="s">
        <v>64</v>
      </c>
      <c r="F5" s="19"/>
      <c r="G5" s="19"/>
    </row>
    <row r="6" spans="1:12" ht="15.75" thickTop="1" x14ac:dyDescent="0.25">
      <c r="C6" s="15" t="s">
        <v>122</v>
      </c>
      <c r="D6" s="15" t="s">
        <v>123</v>
      </c>
    </row>
    <row r="7" spans="1:12" x14ac:dyDescent="0.25">
      <c r="A7" s="3" t="s">
        <v>4</v>
      </c>
    </row>
    <row r="9" spans="1:12" x14ac:dyDescent="0.25">
      <c r="A9" s="1" t="s">
        <v>71</v>
      </c>
    </row>
    <row r="10" spans="1:12" x14ac:dyDescent="0.25">
      <c r="A10" s="4" t="s">
        <v>5</v>
      </c>
      <c r="B10" s="10">
        <f>SUM(C10:H10)</f>
        <v>90657.333333333343</v>
      </c>
      <c r="C10" s="10">
        <v>62875</v>
      </c>
      <c r="D10" s="10">
        <v>25161.666666666668</v>
      </c>
      <c r="E10" s="10">
        <v>2620.6666666666665</v>
      </c>
      <c r="F10" s="5"/>
    </row>
    <row r="11" spans="1:12" x14ac:dyDescent="0.25">
      <c r="A11" s="4" t="s">
        <v>77</v>
      </c>
      <c r="B11" s="10">
        <f t="shared" ref="B11:B13" si="0">SUM(C11:H11)</f>
        <v>95203</v>
      </c>
      <c r="C11" s="10">
        <v>92094</v>
      </c>
      <c r="D11" s="10"/>
      <c r="E11" s="10">
        <v>3109</v>
      </c>
      <c r="F11" s="5"/>
    </row>
    <row r="12" spans="1:12" x14ac:dyDescent="0.25">
      <c r="A12" s="4" t="s">
        <v>78</v>
      </c>
      <c r="B12" s="10">
        <f t="shared" si="0"/>
        <v>93193.666666666672</v>
      </c>
      <c r="C12" s="10">
        <v>64595</v>
      </c>
      <c r="D12" s="5">
        <v>25754</v>
      </c>
      <c r="E12" s="5">
        <v>2844.6666666666665</v>
      </c>
      <c r="F12" s="5"/>
    </row>
    <row r="13" spans="1:12" x14ac:dyDescent="0.25">
      <c r="A13" s="4" t="s">
        <v>79</v>
      </c>
      <c r="B13" s="10">
        <f t="shared" si="0"/>
        <v>95203</v>
      </c>
      <c r="C13" s="10">
        <v>92094</v>
      </c>
      <c r="D13" s="10"/>
      <c r="E13" s="10">
        <v>3109</v>
      </c>
      <c r="F13" s="5"/>
    </row>
    <row r="15" spans="1:12" x14ac:dyDescent="0.25">
      <c r="A15" s="6" t="s">
        <v>6</v>
      </c>
    </row>
    <row r="16" spans="1:12" x14ac:dyDescent="0.25">
      <c r="A16" s="4" t="s">
        <v>5</v>
      </c>
      <c r="B16" s="5">
        <f>SUM(C16:H16)</f>
        <v>18745808584.700001</v>
      </c>
      <c r="C16" s="5">
        <v>10264882384.421524</v>
      </c>
      <c r="D16" s="10">
        <v>4107913589.8784761</v>
      </c>
      <c r="E16" s="10">
        <v>1556678861.7</v>
      </c>
      <c r="F16" s="10">
        <v>1989983748.7</v>
      </c>
      <c r="G16" s="10">
        <v>826350000</v>
      </c>
    </row>
    <row r="17" spans="1:7" x14ac:dyDescent="0.25">
      <c r="A17" s="4" t="s">
        <v>77</v>
      </c>
      <c r="B17" s="5">
        <f t="shared" ref="B17:B20" si="1">SUM(C17:H17)</f>
        <v>21369189972</v>
      </c>
      <c r="C17" s="5">
        <f>C11*70125*3</f>
        <v>19374275250</v>
      </c>
      <c r="D17" s="10"/>
      <c r="E17" s="10">
        <f>E11*213886*3</f>
        <v>1994914722</v>
      </c>
      <c r="F17" s="10"/>
      <c r="G17" s="10"/>
    </row>
    <row r="18" spans="1:7" x14ac:dyDescent="0.25">
      <c r="A18" s="4" t="s">
        <v>78</v>
      </c>
      <c r="B18" s="5">
        <f t="shared" si="1"/>
        <v>18334539381.010002</v>
      </c>
      <c r="C18" s="5">
        <v>9748253169.4709816</v>
      </c>
      <c r="D18" s="10">
        <v>3886533433.5490189</v>
      </c>
      <c r="E18" s="10">
        <v>1785954017</v>
      </c>
      <c r="F18" s="10">
        <v>2055548760.9900002</v>
      </c>
      <c r="G18" s="10">
        <v>858250000</v>
      </c>
    </row>
    <row r="19" spans="1:7" x14ac:dyDescent="0.25">
      <c r="A19" s="4" t="s">
        <v>79</v>
      </c>
      <c r="B19" s="5">
        <f t="shared" si="1"/>
        <v>85476759888</v>
      </c>
      <c r="C19" s="5">
        <f>C13*70125*12</f>
        <v>77497101000</v>
      </c>
      <c r="D19" s="10"/>
      <c r="E19" s="10">
        <f>E13*213886*12</f>
        <v>7979658888</v>
      </c>
      <c r="F19" s="10"/>
      <c r="G19" s="10"/>
    </row>
    <row r="20" spans="1:7" x14ac:dyDescent="0.25">
      <c r="A20" s="4" t="s">
        <v>80</v>
      </c>
      <c r="B20" s="5">
        <f t="shared" si="1"/>
        <v>18334539381.010002</v>
      </c>
      <c r="C20" s="5">
        <f>+C18</f>
        <v>9748253169.4709816</v>
      </c>
      <c r="D20" s="5">
        <f t="shared" ref="D20:G20" si="2">+D18</f>
        <v>3886533433.5490189</v>
      </c>
      <c r="E20" s="5">
        <f t="shared" si="2"/>
        <v>1785954017</v>
      </c>
      <c r="F20" s="5">
        <f t="shared" si="2"/>
        <v>2055548760.9900002</v>
      </c>
      <c r="G20" s="5">
        <f t="shared" si="2"/>
        <v>858250000</v>
      </c>
    </row>
    <row r="21" spans="1:7" x14ac:dyDescent="0.25">
      <c r="A21" s="12"/>
      <c r="B21" s="10"/>
      <c r="C21" s="10"/>
      <c r="D21" s="10"/>
      <c r="E21" s="10"/>
      <c r="F21" s="10"/>
      <c r="G21" s="12"/>
    </row>
    <row r="22" spans="1:7" x14ac:dyDescent="0.25">
      <c r="A22" s="22" t="s">
        <v>7</v>
      </c>
      <c r="B22" s="10"/>
      <c r="C22" s="10"/>
      <c r="D22" s="10"/>
      <c r="E22" s="10"/>
      <c r="F22" s="10"/>
      <c r="G22" s="10"/>
    </row>
    <row r="23" spans="1:7" x14ac:dyDescent="0.25">
      <c r="A23" s="23" t="s">
        <v>77</v>
      </c>
      <c r="B23" s="10">
        <f>+B17</f>
        <v>21369189972</v>
      </c>
      <c r="C23" s="10"/>
      <c r="D23" s="10"/>
      <c r="E23" s="10"/>
      <c r="F23" s="10"/>
      <c r="G23" s="10"/>
    </row>
    <row r="24" spans="1:7" x14ac:dyDescent="0.25">
      <c r="A24" s="23" t="s">
        <v>78</v>
      </c>
      <c r="B24" s="10">
        <v>21553989381.009998</v>
      </c>
      <c r="C24" s="10"/>
      <c r="D24" s="10"/>
      <c r="E24" s="10"/>
      <c r="F24" s="10"/>
      <c r="G24" s="10"/>
    </row>
    <row r="25" spans="1:7" x14ac:dyDescent="0.25">
      <c r="A25" s="12"/>
      <c r="B25" s="12"/>
      <c r="C25" s="12"/>
      <c r="D25" s="12"/>
      <c r="E25" s="12"/>
      <c r="F25" s="12"/>
      <c r="G25" s="12"/>
    </row>
    <row r="26" spans="1:7" x14ac:dyDescent="0.25">
      <c r="A26" s="12" t="s">
        <v>8</v>
      </c>
      <c r="B26" s="12"/>
      <c r="C26" s="12"/>
      <c r="D26" s="12"/>
      <c r="E26" s="12"/>
      <c r="F26" s="12"/>
      <c r="G26" s="12"/>
    </row>
    <row r="27" spans="1:7" x14ac:dyDescent="0.25">
      <c r="A27" s="23" t="s">
        <v>9</v>
      </c>
      <c r="B27" s="24">
        <v>1.4459435845999999</v>
      </c>
      <c r="C27" s="24">
        <v>1.4459435845999999</v>
      </c>
      <c r="D27" s="24">
        <v>1.4459435845999999</v>
      </c>
      <c r="E27" s="24">
        <v>1.4459435845999999</v>
      </c>
      <c r="F27" s="24">
        <v>1.4459435845999999</v>
      </c>
      <c r="G27" s="24">
        <v>1.4459435845999999</v>
      </c>
    </row>
    <row r="28" spans="1:7" x14ac:dyDescent="0.25">
      <c r="A28" s="23" t="s">
        <v>81</v>
      </c>
      <c r="B28" s="24">
        <v>1.5060713566999999</v>
      </c>
      <c r="C28" s="24">
        <v>1.5060713566999999</v>
      </c>
      <c r="D28" s="24">
        <v>1.5060713566999999</v>
      </c>
      <c r="E28" s="24">
        <v>1.5060713566999999</v>
      </c>
      <c r="F28" s="24">
        <v>1.5060713566999999</v>
      </c>
      <c r="G28" s="24">
        <v>1.5060713566999999</v>
      </c>
    </row>
    <row r="29" spans="1:7" x14ac:dyDescent="0.25">
      <c r="A29" s="23" t="s">
        <v>10</v>
      </c>
      <c r="B29" s="11">
        <f>SUM(D29:E29)</f>
        <v>6248</v>
      </c>
      <c r="C29" s="11">
        <v>78777</v>
      </c>
      <c r="D29" s="11" t="s">
        <v>124</v>
      </c>
      <c r="E29" s="11">
        <v>6248</v>
      </c>
      <c r="F29" s="11"/>
      <c r="G29" s="11"/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25" t="s">
        <v>11</v>
      </c>
      <c r="B31" s="12"/>
      <c r="C31" s="12"/>
      <c r="D31" s="12"/>
      <c r="E31" s="12"/>
      <c r="F31" s="12"/>
      <c r="G31" s="12"/>
    </row>
    <row r="32" spans="1:7" x14ac:dyDescent="0.25">
      <c r="A32" s="12" t="s">
        <v>12</v>
      </c>
      <c r="B32" s="10">
        <f>B16/B27</f>
        <v>12964412155.738266</v>
      </c>
      <c r="C32" s="10">
        <f t="shared" ref="C32" si="3">C16/C27</f>
        <v>7099089130.2727833</v>
      </c>
      <c r="D32" s="10">
        <f t="shared" ref="D32:G32" si="4">D16/D27</f>
        <v>2840991608.26864</v>
      </c>
      <c r="E32" s="10">
        <f t="shared" si="4"/>
        <v>1076583400.8182509</v>
      </c>
      <c r="F32" s="10">
        <f t="shared" si="4"/>
        <v>1376252690.5574267</v>
      </c>
      <c r="G32" s="10">
        <f t="shared" si="4"/>
        <v>571495325.82116485</v>
      </c>
    </row>
    <row r="33" spans="1:7" x14ac:dyDescent="0.25">
      <c r="A33" s="12" t="s">
        <v>82</v>
      </c>
      <c r="B33" s="10">
        <f>B18/B28</f>
        <v>12173752126.315838</v>
      </c>
      <c r="C33" s="10">
        <f t="shared" ref="C33" si="5">C18/C28</f>
        <v>6472636987.6860838</v>
      </c>
      <c r="D33" s="10">
        <f t="shared" ref="D33:G33" si="6">D18/D28</f>
        <v>2580577219.173017</v>
      </c>
      <c r="E33" s="10">
        <f t="shared" si="6"/>
        <v>1185836254.7397885</v>
      </c>
      <c r="F33" s="10">
        <f t="shared" si="6"/>
        <v>1364841547.4111249</v>
      </c>
      <c r="G33" s="10">
        <f t="shared" si="6"/>
        <v>569860117.30582166</v>
      </c>
    </row>
    <row r="34" spans="1:7" x14ac:dyDescent="0.25">
      <c r="A34" s="12" t="s">
        <v>13</v>
      </c>
      <c r="B34" s="10">
        <f>B32/B10</f>
        <v>143004.56101074666</v>
      </c>
      <c r="C34" s="10">
        <f t="shared" ref="C34" si="7">C32/C10</f>
        <v>112907.97821507409</v>
      </c>
      <c r="D34" s="10">
        <f t="shared" ref="D34:E34" si="8">D32/D10</f>
        <v>112909.51612646115</v>
      </c>
      <c r="E34" s="10">
        <f t="shared" si="8"/>
        <v>410805.16439261677</v>
      </c>
      <c r="F34" s="10"/>
      <c r="G34" s="10"/>
    </row>
    <row r="35" spans="1:7" x14ac:dyDescent="0.25">
      <c r="A35" s="12" t="s">
        <v>83</v>
      </c>
      <c r="B35" s="10">
        <f>B33/B12</f>
        <v>130628.53476791167</v>
      </c>
      <c r="C35" s="10">
        <f t="shared" ref="C35" si="9">C33/C12</f>
        <v>100203.37468358362</v>
      </c>
      <c r="D35" s="10">
        <f t="shared" ref="D35:E35" si="10">D33/D12</f>
        <v>100201.02582794972</v>
      </c>
      <c r="E35" s="10">
        <f t="shared" si="10"/>
        <v>416862.99088579399</v>
      </c>
      <c r="F35" s="10"/>
      <c r="G35" s="10"/>
    </row>
    <row r="36" spans="1:7" x14ac:dyDescent="0.25">
      <c r="A36" s="12"/>
      <c r="B36" s="12"/>
      <c r="C36" s="12"/>
      <c r="D36" s="12"/>
      <c r="E36" s="12"/>
      <c r="F36" s="12"/>
      <c r="G36" s="12"/>
    </row>
    <row r="37" spans="1:7" x14ac:dyDescent="0.25">
      <c r="A37" s="25" t="s">
        <v>14</v>
      </c>
      <c r="B37" s="12"/>
      <c r="C37" s="12"/>
      <c r="D37" s="12"/>
      <c r="E37" s="12"/>
      <c r="F37" s="12"/>
      <c r="G37" s="12"/>
    </row>
    <row r="38" spans="1:7" x14ac:dyDescent="0.25">
      <c r="A38" s="12"/>
      <c r="B38" s="12"/>
      <c r="C38" s="12"/>
      <c r="D38" s="12"/>
      <c r="E38" s="12"/>
      <c r="F38" s="12"/>
      <c r="G38" s="12"/>
    </row>
    <row r="39" spans="1:7" x14ac:dyDescent="0.25">
      <c r="A39" s="12" t="s">
        <v>15</v>
      </c>
      <c r="B39" s="12"/>
      <c r="C39" s="12"/>
      <c r="D39" s="12"/>
      <c r="E39" s="12"/>
      <c r="F39" s="12"/>
      <c r="G39" s="12"/>
    </row>
    <row r="40" spans="1:7" x14ac:dyDescent="0.25">
      <c r="A40" s="12" t="s">
        <v>16</v>
      </c>
      <c r="B40" s="7">
        <f>((C40*C17+E40*E17)/(C17+E17))</f>
        <v>110.63640037611137</v>
      </c>
      <c r="C40" s="7">
        <f>(C11)/C29*100</f>
        <v>116.90468030008758</v>
      </c>
      <c r="D40" s="7" t="e">
        <f>(D11)/D29*100</f>
        <v>#VALUE!</v>
      </c>
      <c r="E40" s="7">
        <f>(E11)/E29*100</f>
        <v>49.759923175416134</v>
      </c>
      <c r="F40" s="7"/>
      <c r="G40" s="12"/>
    </row>
    <row r="41" spans="1:7" x14ac:dyDescent="0.25">
      <c r="A41" s="12" t="s">
        <v>17</v>
      </c>
      <c r="B41" s="7">
        <f>((C41*C18+E41*E18)/(C18+E18))</f>
        <v>76.350579299679609</v>
      </c>
      <c r="C41" s="7">
        <f t="shared" ref="C41" si="11">(C12)/C29*100</f>
        <v>81.997283471063881</v>
      </c>
      <c r="D41" s="7" t="e">
        <f t="shared" ref="D41:E41" si="12">(D12)/D29*100</f>
        <v>#VALUE!</v>
      </c>
      <c r="E41" s="7">
        <f t="shared" si="12"/>
        <v>45.529236022193764</v>
      </c>
      <c r="F41" s="7"/>
      <c r="G41" s="12"/>
    </row>
    <row r="42" spans="1:7" x14ac:dyDescent="0.25">
      <c r="A42" s="12"/>
      <c r="B42" s="12"/>
      <c r="C42" s="12"/>
      <c r="D42" s="12"/>
      <c r="E42" s="12"/>
      <c r="F42" s="12"/>
      <c r="G42" s="12"/>
    </row>
    <row r="43" spans="1:7" x14ac:dyDescent="0.25">
      <c r="A43" s="12" t="s">
        <v>18</v>
      </c>
      <c r="B43" s="12"/>
      <c r="C43" s="12"/>
      <c r="D43" s="12"/>
      <c r="E43" s="12"/>
      <c r="F43" s="12"/>
      <c r="G43" s="12"/>
    </row>
    <row r="44" spans="1:7" x14ac:dyDescent="0.25">
      <c r="A44" s="12" t="s">
        <v>19</v>
      </c>
      <c r="B44" s="7">
        <f>B12/B11*100</f>
        <v>97.889422252099905</v>
      </c>
      <c r="C44" s="7">
        <f>(C12+D12)/C11*100</f>
        <v>98.105196864073662</v>
      </c>
      <c r="D44" s="7" t="e">
        <f>D12/D11*100</f>
        <v>#DIV/0!</v>
      </c>
      <c r="E44" s="7">
        <f>E12/E11*100</f>
        <v>91.497802079982833</v>
      </c>
      <c r="F44" s="7"/>
      <c r="G44" s="7"/>
    </row>
    <row r="45" spans="1:7" x14ac:dyDescent="0.25">
      <c r="A45" s="12" t="s">
        <v>20</v>
      </c>
      <c r="B45" s="7">
        <f>B18/B17*100</f>
        <v>85.798944204406936</v>
      </c>
      <c r="C45" s="7">
        <f>(C18+D18)/C17*100</f>
        <v>70.375724650758229</v>
      </c>
      <c r="D45" s="7" t="e">
        <f>D18/D17*100</f>
        <v>#DIV/0!</v>
      </c>
      <c r="E45" s="7">
        <f>E18/E17*100</f>
        <v>89.525331449230734</v>
      </c>
      <c r="F45" s="7" t="e">
        <f>F18/F17*100</f>
        <v>#DIV/0!</v>
      </c>
      <c r="G45" s="7" t="e">
        <f>G18/G17*100</f>
        <v>#DIV/0!</v>
      </c>
    </row>
    <row r="46" spans="1:7" x14ac:dyDescent="0.25">
      <c r="A46" s="12" t="s">
        <v>21</v>
      </c>
      <c r="B46" s="7">
        <f>AVERAGE(B44:B45)</f>
        <v>91.844183228253428</v>
      </c>
      <c r="C46" s="7">
        <f t="shared" ref="C46" si="13">AVERAGE(C44:C45)</f>
        <v>84.240460757415946</v>
      </c>
      <c r="D46" s="7" t="e">
        <f t="shared" ref="D46:G46" si="14">AVERAGE(D44:D45)</f>
        <v>#DIV/0!</v>
      </c>
      <c r="E46" s="7">
        <f t="shared" si="14"/>
        <v>90.511566764606783</v>
      </c>
      <c r="F46" s="7" t="e">
        <f>AVERAGE(F44:F45)</f>
        <v>#DIV/0!</v>
      </c>
      <c r="G46" s="7" t="e">
        <f t="shared" si="14"/>
        <v>#DIV/0!</v>
      </c>
    </row>
    <row r="47" spans="1:7" x14ac:dyDescent="0.25">
      <c r="A47" s="12"/>
      <c r="B47" s="7"/>
      <c r="C47" s="7"/>
      <c r="D47" s="7"/>
      <c r="E47" s="7"/>
      <c r="F47" s="7"/>
      <c r="G47" s="7"/>
    </row>
    <row r="48" spans="1:7" x14ac:dyDescent="0.25">
      <c r="A48" s="12" t="s">
        <v>22</v>
      </c>
      <c r="B48" s="12"/>
      <c r="C48" s="12"/>
      <c r="D48" s="12"/>
      <c r="E48" s="12"/>
      <c r="F48" s="12"/>
      <c r="G48" s="12"/>
    </row>
    <row r="49" spans="1:7" x14ac:dyDescent="0.25">
      <c r="A49" s="12" t="s">
        <v>23</v>
      </c>
      <c r="B49" s="7">
        <f>B12/(B13*4)*100</f>
        <v>24.472355563024976</v>
      </c>
      <c r="C49" s="7">
        <f>(C12+D12)/(C13*4)*100</f>
        <v>24.526299216018415</v>
      </c>
      <c r="D49" s="7" t="e">
        <f>D12/(D13*4)*100</f>
        <v>#DIV/0!</v>
      </c>
      <c r="E49" s="7">
        <f t="shared" ref="E49" si="15">E12/(E13*4)*100</f>
        <v>22.874450519995708</v>
      </c>
      <c r="F49" s="7"/>
      <c r="G49" s="7"/>
    </row>
    <row r="50" spans="1:7" x14ac:dyDescent="0.25">
      <c r="A50" s="12" t="s">
        <v>24</v>
      </c>
      <c r="B50" s="7">
        <f>B18/B19*100</f>
        <v>21.449736051101734</v>
      </c>
      <c r="C50" s="7">
        <f>(C18+D18)/C19*100</f>
        <v>17.593931162689557</v>
      </c>
      <c r="D50" s="7" t="e">
        <f>D18/D19*100</f>
        <v>#DIV/0!</v>
      </c>
      <c r="E50" s="7">
        <f>E18/E19*100</f>
        <v>22.381332862307683</v>
      </c>
      <c r="F50" s="7" t="e">
        <f>F18/F19*100</f>
        <v>#DIV/0!</v>
      </c>
      <c r="G50" s="7" t="e">
        <f>G18/G19*100</f>
        <v>#DIV/0!</v>
      </c>
    </row>
    <row r="51" spans="1:7" x14ac:dyDescent="0.25">
      <c r="A51" s="12" t="s">
        <v>25</v>
      </c>
      <c r="B51" s="7">
        <f>(B49+B50)/2</f>
        <v>22.961045807063357</v>
      </c>
      <c r="C51" s="7">
        <f t="shared" ref="C51" si="16">(C49+C50)/2</f>
        <v>21.060115189353986</v>
      </c>
      <c r="D51" s="7" t="e">
        <f t="shared" ref="D51:E51" si="17">(D49+D50)/2</f>
        <v>#DIV/0!</v>
      </c>
      <c r="E51" s="7">
        <f t="shared" si="17"/>
        <v>22.627891691151696</v>
      </c>
      <c r="F51" s="7" t="e">
        <f>AVERAGE(F49:F50)</f>
        <v>#DIV/0!</v>
      </c>
      <c r="G51" s="7" t="e">
        <f t="shared" ref="G51" si="18">AVERAGE(G49:G50)</f>
        <v>#DIV/0!</v>
      </c>
    </row>
    <row r="52" spans="1:7" x14ac:dyDescent="0.25">
      <c r="A52" s="12"/>
      <c r="B52" s="12"/>
      <c r="C52" s="12"/>
      <c r="D52" s="12"/>
      <c r="E52" s="12"/>
      <c r="F52" s="12"/>
      <c r="G52" s="12"/>
    </row>
    <row r="53" spans="1:7" x14ac:dyDescent="0.25">
      <c r="A53" s="12" t="s">
        <v>57</v>
      </c>
      <c r="B53" s="12"/>
      <c r="C53" s="12"/>
      <c r="D53" s="12"/>
      <c r="E53" s="12"/>
      <c r="F53" s="12"/>
      <c r="G53" s="12"/>
    </row>
    <row r="54" spans="1:7" x14ac:dyDescent="0.25">
      <c r="A54" s="12" t="s">
        <v>26</v>
      </c>
      <c r="B54" s="7">
        <f>(B20/B18)*100</f>
        <v>100</v>
      </c>
      <c r="C54" s="7">
        <f t="shared" ref="C54" si="19">(C20/C18)*100</f>
        <v>100</v>
      </c>
      <c r="D54" s="7">
        <f t="shared" ref="D54:F54" si="20">(D20/D18)*100</f>
        <v>100</v>
      </c>
      <c r="E54" s="7">
        <f t="shared" si="20"/>
        <v>100</v>
      </c>
      <c r="F54" s="7">
        <f t="shared" si="20"/>
        <v>100</v>
      </c>
      <c r="G54" s="7"/>
    </row>
    <row r="55" spans="1:7" x14ac:dyDescent="0.25">
      <c r="A55" s="12"/>
      <c r="B55" s="12"/>
      <c r="C55" s="12"/>
      <c r="D55" s="12"/>
      <c r="E55" s="12"/>
      <c r="F55" s="12"/>
      <c r="G55" s="12"/>
    </row>
    <row r="56" spans="1:7" x14ac:dyDescent="0.25">
      <c r="A56" s="12" t="s">
        <v>27</v>
      </c>
      <c r="B56" s="12"/>
      <c r="C56" s="12"/>
      <c r="D56" s="12"/>
      <c r="E56" s="12"/>
      <c r="F56" s="12"/>
      <c r="G56" s="12"/>
    </row>
    <row r="57" spans="1:7" x14ac:dyDescent="0.25">
      <c r="A57" s="12" t="s">
        <v>28</v>
      </c>
      <c r="B57" s="7">
        <f>((B12/B10)-1)*100</f>
        <v>2.7977144706072599</v>
      </c>
      <c r="C57" s="7">
        <f>(((C12+D12)/C10)-1)*100</f>
        <v>43.696222664015892</v>
      </c>
      <c r="D57" s="7">
        <f>((D12/D10)-1)*100</f>
        <v>2.3541100880969612</v>
      </c>
      <c r="E57" s="7">
        <f>((E12/E10)-1)*100</f>
        <v>8.5474433986262977</v>
      </c>
      <c r="F57" s="7"/>
      <c r="G57" s="7"/>
    </row>
    <row r="58" spans="1:7" x14ac:dyDescent="0.25">
      <c r="A58" s="12" t="s">
        <v>29</v>
      </c>
      <c r="B58" s="7">
        <f>((B33/B32)-1)*100</f>
        <v>-6.0986955669445342</v>
      </c>
      <c r="C58" s="7">
        <f t="shared" ref="C58" si="21">((C33/C32)-1)*100</f>
        <v>-8.8244017097250946</v>
      </c>
      <c r="D58" s="7">
        <f t="shared" ref="D58:F58" si="22">((D33/D32)-1)*100</f>
        <v>-9.1663202502144987</v>
      </c>
      <c r="E58" s="7">
        <f t="shared" si="22"/>
        <v>10.148108714893866</v>
      </c>
      <c r="F58" s="7">
        <f t="shared" si="22"/>
        <v>-0.82914592825826805</v>
      </c>
      <c r="G58" s="7">
        <f>((G33/G32)-1)*100</f>
        <v>-0.28612806465102558</v>
      </c>
    </row>
    <row r="59" spans="1:7" x14ac:dyDescent="0.25">
      <c r="A59" s="12" t="s">
        <v>30</v>
      </c>
      <c r="B59" s="7">
        <f>((B35/B34)-1)*100</f>
        <v>-8.6542877761115236</v>
      </c>
      <c r="C59" s="7">
        <f>(((C35+D35)/C34)-1)*100</f>
        <v>77.493569258489998</v>
      </c>
      <c r="D59" s="7">
        <f t="shared" ref="D59:E59" si="23">((D35/D34)-1)*100</f>
        <v>-11.25546431735448</v>
      </c>
      <c r="E59" s="7">
        <f t="shared" si="23"/>
        <v>1.4746227696854408</v>
      </c>
      <c r="F59" s="7"/>
      <c r="G59" s="7"/>
    </row>
    <row r="60" spans="1:7" x14ac:dyDescent="0.25">
      <c r="A60" s="12"/>
      <c r="B60" s="7"/>
      <c r="C60" s="7"/>
      <c r="D60" s="7"/>
      <c r="E60" s="7"/>
      <c r="F60" s="7"/>
      <c r="G60" s="7"/>
    </row>
    <row r="61" spans="1:7" x14ac:dyDescent="0.25">
      <c r="A61" s="12" t="s">
        <v>31</v>
      </c>
      <c r="B61" s="12"/>
      <c r="C61" s="12"/>
      <c r="D61" s="12"/>
      <c r="E61" s="12"/>
      <c r="F61" s="12"/>
      <c r="G61" s="12"/>
    </row>
    <row r="62" spans="1:7" x14ac:dyDescent="0.25">
      <c r="A62" s="12" t="s">
        <v>58</v>
      </c>
      <c r="B62" s="10">
        <f>B17/(B11*3)</f>
        <v>74819.73597470668</v>
      </c>
      <c r="C62" s="10">
        <f t="shared" ref="C62" si="24">C17/(C11*3)</f>
        <v>70125</v>
      </c>
      <c r="D62" s="10" t="e">
        <f t="shared" ref="D62:E62" si="25">D17/(D11*3)</f>
        <v>#DIV/0!</v>
      </c>
      <c r="E62" s="10">
        <f t="shared" si="25"/>
        <v>213886</v>
      </c>
      <c r="F62" s="10"/>
      <c r="G62" s="10"/>
    </row>
    <row r="63" spans="1:7" x14ac:dyDescent="0.25">
      <c r="A63" s="12" t="s">
        <v>59</v>
      </c>
      <c r="B63" s="10">
        <f>B18/(B12*3)</f>
        <v>65578.631527213947</v>
      </c>
      <c r="C63" s="10">
        <f>C18/((C12+D12)*3)</f>
        <v>35965.1764065678</v>
      </c>
      <c r="D63" s="10">
        <f>D18/(D12*3)</f>
        <v>50303.298303810654</v>
      </c>
      <c r="E63" s="10">
        <f t="shared" ref="E63" si="26">E18/(E12*3)</f>
        <v>209275.13674712915</v>
      </c>
      <c r="F63" s="10"/>
      <c r="G63" s="10"/>
    </row>
    <row r="64" spans="1:7" x14ac:dyDescent="0.25">
      <c r="A64" s="12" t="s">
        <v>32</v>
      </c>
      <c r="B64" s="7">
        <f>(B62/B63)*B46</f>
        <v>104.7865345756544</v>
      </c>
      <c r="C64" s="7">
        <f t="shared" ref="C64" si="27">(C62/C63)*C46</f>
        <v>164.2522823698709</v>
      </c>
      <c r="D64" s="7" t="e">
        <f t="shared" ref="D64:E64" si="28">(D62/D63)*D46</f>
        <v>#DIV/0!</v>
      </c>
      <c r="E64" s="7">
        <f t="shared" si="28"/>
        <v>92.505766666427732</v>
      </c>
      <c r="F64" s="7"/>
      <c r="G64" s="7"/>
    </row>
    <row r="65" spans="1:7" x14ac:dyDescent="0.25">
      <c r="A65" s="7" t="s">
        <v>60</v>
      </c>
      <c r="B65" s="10">
        <f>B17/B11</f>
        <v>224459.20792412004</v>
      </c>
      <c r="C65" s="10">
        <f t="shared" ref="C65" si="29">C17/C11</f>
        <v>210375</v>
      </c>
      <c r="D65" s="10" t="e">
        <f t="shared" ref="D65:E65" si="30">D17/D11</f>
        <v>#DIV/0!</v>
      </c>
      <c r="E65" s="10">
        <f t="shared" si="30"/>
        <v>641658</v>
      </c>
      <c r="F65" s="7"/>
      <c r="G65" s="7"/>
    </row>
    <row r="66" spans="1:7" x14ac:dyDescent="0.25">
      <c r="A66" s="7" t="s">
        <v>61</v>
      </c>
      <c r="B66" s="10">
        <f>B18/B12</f>
        <v>196735.89458164183</v>
      </c>
      <c r="C66" s="10">
        <f>C18/(C12+D12)</f>
        <v>107895.52921970339</v>
      </c>
      <c r="D66" s="10">
        <f t="shared" ref="D66:E66" si="31">D18/D12</f>
        <v>150909.89491143197</v>
      </c>
      <c r="E66" s="10">
        <f t="shared" si="31"/>
        <v>627825.41024138744</v>
      </c>
      <c r="F66" s="7"/>
      <c r="G66" s="7"/>
    </row>
    <row r="67" spans="1:7" x14ac:dyDescent="0.25">
      <c r="A67" s="12"/>
      <c r="B67" s="7"/>
      <c r="C67" s="7"/>
      <c r="D67" s="7"/>
      <c r="E67" s="7"/>
      <c r="F67" s="7"/>
      <c r="G67" s="7"/>
    </row>
    <row r="68" spans="1:7" x14ac:dyDescent="0.25">
      <c r="A68" s="12" t="s">
        <v>33</v>
      </c>
      <c r="B68" s="7"/>
      <c r="C68" s="7"/>
      <c r="D68" s="7"/>
      <c r="E68" s="7"/>
      <c r="F68" s="7"/>
      <c r="G68" s="7"/>
    </row>
    <row r="69" spans="1:7" x14ac:dyDescent="0.25">
      <c r="A69" s="12" t="s">
        <v>34</v>
      </c>
      <c r="B69" s="7">
        <f>(B24/B23)*100</f>
        <v>100.86479370183025</v>
      </c>
      <c r="C69" s="7"/>
      <c r="D69" s="7"/>
      <c r="E69" s="7"/>
      <c r="F69" s="7"/>
      <c r="G69" s="7"/>
    </row>
    <row r="70" spans="1:7" x14ac:dyDescent="0.25">
      <c r="A70" s="12" t="s">
        <v>35</v>
      </c>
      <c r="B70" s="7">
        <f>(B18/B24)*100</f>
        <v>85.063321953584747</v>
      </c>
      <c r="C70" s="7"/>
      <c r="D70" s="7"/>
      <c r="E70" s="7"/>
      <c r="F70" s="7"/>
      <c r="G70" s="7"/>
    </row>
    <row r="71" spans="1:7" ht="15.75" thickBot="1" x14ac:dyDescent="0.3">
      <c r="A71" s="26"/>
      <c r="B71" s="26"/>
      <c r="C71" s="26"/>
      <c r="D71" s="26"/>
      <c r="E71" s="26"/>
      <c r="F71" s="26"/>
      <c r="G71" s="26"/>
    </row>
    <row r="72" spans="1:7" ht="15.75" thickTop="1" x14ac:dyDescent="0.25">
      <c r="A72" s="12"/>
      <c r="B72" s="12"/>
      <c r="C72" s="12"/>
      <c r="D72" s="12"/>
      <c r="E72" s="12"/>
      <c r="F72" s="12"/>
      <c r="G72" s="12"/>
    </row>
    <row r="73" spans="1:7" x14ac:dyDescent="0.25">
      <c r="A73" s="12" t="s">
        <v>40</v>
      </c>
      <c r="B73" s="12"/>
      <c r="C73" s="12"/>
      <c r="D73" s="12"/>
      <c r="E73" s="12"/>
      <c r="F73" s="12"/>
      <c r="G73" s="12"/>
    </row>
    <row r="74" spans="1:7" x14ac:dyDescent="0.25">
      <c r="A74" s="12" t="s">
        <v>121</v>
      </c>
      <c r="B74" s="12"/>
      <c r="C74" s="12"/>
      <c r="D74" s="12"/>
      <c r="E74" s="12"/>
      <c r="F74" s="12"/>
      <c r="G74" s="12"/>
    </row>
    <row r="75" spans="1:7" x14ac:dyDescent="0.25">
      <c r="A75" s="12" t="s">
        <v>84</v>
      </c>
      <c r="B75" s="27"/>
      <c r="C75" s="27"/>
      <c r="D75" s="27"/>
      <c r="E75" s="27"/>
      <c r="F75" s="12"/>
      <c r="G75" s="12"/>
    </row>
    <row r="76" spans="1:7" x14ac:dyDescent="0.25">
      <c r="A76" s="12" t="s">
        <v>85</v>
      </c>
      <c r="B76" s="12"/>
      <c r="C76" s="12"/>
      <c r="D76" s="12"/>
      <c r="E76" s="12"/>
      <c r="F76" s="12"/>
      <c r="G76" s="12"/>
    </row>
    <row r="77" spans="1:7" x14ac:dyDescent="0.25">
      <c r="A77" s="12"/>
      <c r="B77" s="12"/>
      <c r="C77" s="12"/>
      <c r="D77" s="12"/>
      <c r="E77" s="12"/>
      <c r="F77" s="12"/>
      <c r="G77" s="12"/>
    </row>
    <row r="78" spans="1:7" x14ac:dyDescent="0.25">
      <c r="A78" s="1" t="s">
        <v>73</v>
      </c>
    </row>
    <row r="79" spans="1:7" x14ac:dyDescent="0.25">
      <c r="A79" s="1" t="s">
        <v>75</v>
      </c>
    </row>
    <row r="80" spans="1:7" x14ac:dyDescent="0.25">
      <c r="A80" s="1" t="s">
        <v>74</v>
      </c>
    </row>
  </sheetData>
  <mergeCells count="6">
    <mergeCell ref="A4:A5"/>
    <mergeCell ref="A2:G2"/>
    <mergeCell ref="B4:B5"/>
    <mergeCell ref="F4:F5"/>
    <mergeCell ref="G4:G5"/>
    <mergeCell ref="C5:D5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zoomScale="80" zoomScaleNormal="80" workbookViewId="0">
      <selection activeCell="E11" sqref="E11"/>
    </sheetView>
  </sheetViews>
  <sheetFormatPr baseColWidth="10" defaultRowHeight="15" x14ac:dyDescent="0.25"/>
  <cols>
    <col min="1" max="1" width="55.140625" style="1" customWidth="1"/>
    <col min="2" max="3" width="16.140625" style="1" customWidth="1"/>
    <col min="4" max="4" width="17" style="1" bestFit="1" customWidth="1"/>
    <col min="5" max="5" width="16.42578125" style="1" bestFit="1" customWidth="1"/>
    <col min="6" max="6" width="14.7109375" style="1" bestFit="1" customWidth="1"/>
    <col min="7" max="7" width="17.5703125" style="1" bestFit="1" customWidth="1"/>
    <col min="8" max="8" width="11.42578125" style="1"/>
    <col min="9" max="11" width="13.5703125" style="1" bestFit="1" customWidth="1"/>
    <col min="12" max="13" width="11.5703125" style="1" bestFit="1" customWidth="1"/>
    <col min="14" max="16384" width="11.42578125" style="1"/>
  </cols>
  <sheetData>
    <row r="1" spans="1:9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5.75" x14ac:dyDescent="0.25">
      <c r="A2" s="28" t="s">
        <v>86</v>
      </c>
      <c r="B2" s="28"/>
      <c r="C2" s="28"/>
      <c r="D2" s="28"/>
      <c r="E2" s="28"/>
      <c r="F2" s="28"/>
      <c r="G2" s="28"/>
      <c r="H2" s="12"/>
      <c r="I2" s="12"/>
    </row>
    <row r="3" spans="1:9" x14ac:dyDescent="0.25">
      <c r="A3" s="12"/>
      <c r="B3" s="12"/>
      <c r="C3" s="12"/>
      <c r="D3" s="12"/>
      <c r="E3" s="12"/>
      <c r="F3" s="12"/>
      <c r="G3" s="12"/>
      <c r="H3" s="12"/>
      <c r="I3" s="12"/>
    </row>
    <row r="4" spans="1:9" x14ac:dyDescent="0.25">
      <c r="A4" s="29" t="s">
        <v>0</v>
      </c>
      <c r="B4" s="29" t="s">
        <v>62</v>
      </c>
      <c r="C4" s="30"/>
      <c r="D4" s="31" t="s">
        <v>1</v>
      </c>
      <c r="E4" s="31"/>
      <c r="F4" s="29" t="s">
        <v>2</v>
      </c>
      <c r="G4" s="29" t="s">
        <v>3</v>
      </c>
      <c r="H4" s="12"/>
      <c r="I4" s="12"/>
    </row>
    <row r="5" spans="1:9" ht="15.75" thickBot="1" x14ac:dyDescent="0.3">
      <c r="A5" s="32"/>
      <c r="B5" s="32"/>
      <c r="C5" s="33" t="s">
        <v>63</v>
      </c>
      <c r="D5" s="33"/>
      <c r="E5" s="34" t="s">
        <v>64</v>
      </c>
      <c r="F5" s="32"/>
      <c r="G5" s="32"/>
      <c r="H5" s="12"/>
      <c r="I5" s="12"/>
    </row>
    <row r="6" spans="1:9" ht="15.75" thickTop="1" x14ac:dyDescent="0.25">
      <c r="A6" s="12"/>
      <c r="B6" s="12"/>
      <c r="C6" s="35" t="s">
        <v>122</v>
      </c>
      <c r="D6" s="35" t="s">
        <v>123</v>
      </c>
      <c r="E6" s="12"/>
      <c r="F6" s="12"/>
      <c r="G6" s="12"/>
      <c r="H6" s="12"/>
      <c r="I6" s="12"/>
    </row>
    <row r="7" spans="1:9" x14ac:dyDescent="0.25">
      <c r="A7" s="25" t="s">
        <v>4</v>
      </c>
      <c r="B7" s="12"/>
      <c r="C7" s="12"/>
      <c r="D7" s="12"/>
      <c r="E7" s="12"/>
      <c r="F7" s="12"/>
      <c r="G7" s="12"/>
      <c r="H7" s="12"/>
      <c r="I7" s="12"/>
    </row>
    <row r="8" spans="1:9" x14ac:dyDescent="0.25">
      <c r="A8" s="12"/>
      <c r="B8" s="12"/>
      <c r="C8" s="12"/>
      <c r="D8" s="12"/>
      <c r="E8" s="12"/>
      <c r="F8" s="12"/>
      <c r="G8" s="12"/>
      <c r="H8" s="12"/>
      <c r="I8" s="12"/>
    </row>
    <row r="9" spans="1:9" x14ac:dyDescent="0.25">
      <c r="A9" s="12" t="s">
        <v>71</v>
      </c>
      <c r="B9" s="12"/>
      <c r="C9" s="12"/>
      <c r="D9" s="12"/>
      <c r="E9" s="12"/>
      <c r="F9" s="12"/>
      <c r="G9" s="12"/>
      <c r="H9" s="12"/>
      <c r="I9" s="12"/>
    </row>
    <row r="10" spans="1:9" x14ac:dyDescent="0.25">
      <c r="A10" s="23" t="s">
        <v>36</v>
      </c>
      <c r="B10" s="10">
        <f>SUM(C10:H10)</f>
        <v>91092.666666666657</v>
      </c>
      <c r="C10" s="10">
        <v>63161</v>
      </c>
      <c r="D10" s="10">
        <v>25261.333333333332</v>
      </c>
      <c r="E10" s="10">
        <v>2670.3333333333335</v>
      </c>
      <c r="F10" s="10"/>
      <c r="G10" s="12"/>
      <c r="H10" s="12"/>
      <c r="I10" s="12"/>
    </row>
    <row r="11" spans="1:9" x14ac:dyDescent="0.25">
      <c r="A11" s="23" t="s">
        <v>87</v>
      </c>
      <c r="B11" s="10">
        <f t="shared" ref="B11:B13" si="0">SUM(C11:H11)</f>
        <v>95203</v>
      </c>
      <c r="C11" s="10">
        <v>92094</v>
      </c>
      <c r="D11" s="10"/>
      <c r="E11" s="10">
        <v>3109</v>
      </c>
      <c r="F11" s="10"/>
      <c r="G11" s="12"/>
      <c r="H11" s="12"/>
      <c r="I11" s="12"/>
    </row>
    <row r="12" spans="1:9" x14ac:dyDescent="0.25">
      <c r="A12" s="23" t="s">
        <v>88</v>
      </c>
      <c r="B12" s="10">
        <f t="shared" si="0"/>
        <v>93920.000000000015</v>
      </c>
      <c r="C12" s="10">
        <v>65119.333333333336</v>
      </c>
      <c r="D12" s="10">
        <v>25904</v>
      </c>
      <c r="E12" s="10">
        <v>2896.6666666666665</v>
      </c>
      <c r="F12" s="10"/>
      <c r="G12" s="12"/>
      <c r="H12" s="12"/>
      <c r="I12" s="12"/>
    </row>
    <row r="13" spans="1:9" x14ac:dyDescent="0.25">
      <c r="A13" s="23" t="s">
        <v>79</v>
      </c>
      <c r="B13" s="10">
        <f t="shared" si="0"/>
        <v>95203</v>
      </c>
      <c r="C13" s="10">
        <v>92094</v>
      </c>
      <c r="D13" s="10"/>
      <c r="E13" s="10">
        <v>3109</v>
      </c>
      <c r="F13" s="10"/>
      <c r="G13" s="12"/>
      <c r="H13" s="12"/>
      <c r="I13" s="12"/>
    </row>
    <row r="14" spans="1:9" x14ac:dyDescent="0.25">
      <c r="A14" s="12"/>
      <c r="B14" s="12"/>
      <c r="C14" s="12"/>
      <c r="D14" s="12"/>
      <c r="E14" s="12"/>
      <c r="F14" s="12"/>
      <c r="G14" s="12"/>
      <c r="H14" s="12"/>
      <c r="I14" s="12"/>
    </row>
    <row r="15" spans="1:9" x14ac:dyDescent="0.25">
      <c r="A15" s="22" t="s">
        <v>6</v>
      </c>
      <c r="B15" s="12"/>
      <c r="C15" s="12"/>
      <c r="D15" s="12"/>
      <c r="E15" s="12"/>
      <c r="F15" s="12"/>
      <c r="G15" s="12"/>
      <c r="H15" s="12"/>
      <c r="I15" s="12"/>
    </row>
    <row r="16" spans="1:9" x14ac:dyDescent="0.25">
      <c r="A16" s="23" t="s">
        <v>36</v>
      </c>
      <c r="B16" s="10">
        <f>SUM(C16:H16)</f>
        <v>23171634224.499996</v>
      </c>
      <c r="C16" s="10">
        <v>12838431369.012188</v>
      </c>
      <c r="D16" s="10">
        <v>5134813493.5878115</v>
      </c>
      <c r="E16" s="10">
        <v>1600118783.0999999</v>
      </c>
      <c r="F16" s="10">
        <v>2771920578.8000002</v>
      </c>
      <c r="G16" s="10">
        <v>826350000</v>
      </c>
      <c r="H16" s="12"/>
      <c r="I16" s="12"/>
    </row>
    <row r="17" spans="1:9" x14ac:dyDescent="0.25">
      <c r="A17" s="23" t="s">
        <v>87</v>
      </c>
      <c r="B17" s="10">
        <f t="shared" ref="B17:B20" si="1">SUM(C17:H17)</f>
        <v>21369189972</v>
      </c>
      <c r="C17" s="10">
        <f>C11*70125*3</f>
        <v>19374275250</v>
      </c>
      <c r="D17" s="10"/>
      <c r="E17" s="10">
        <f>E11*213886*3</f>
        <v>1994914722</v>
      </c>
      <c r="F17" s="10"/>
      <c r="G17" s="9"/>
      <c r="H17" s="12"/>
      <c r="I17" s="12"/>
    </row>
    <row r="18" spans="1:9" x14ac:dyDescent="0.25">
      <c r="A18" s="23" t="s">
        <v>88</v>
      </c>
      <c r="B18" s="10">
        <f t="shared" si="1"/>
        <v>25554395483.720001</v>
      </c>
      <c r="C18" s="10">
        <v>14297420472.408455</v>
      </c>
      <c r="D18" s="10">
        <v>5687201310.2415447</v>
      </c>
      <c r="E18" s="10">
        <v>1835921951.55</v>
      </c>
      <c r="F18" s="10">
        <v>2875601749.5</v>
      </c>
      <c r="G18" s="9">
        <v>858250000.01999998</v>
      </c>
      <c r="H18" s="12"/>
      <c r="I18" s="12"/>
    </row>
    <row r="19" spans="1:9" x14ac:dyDescent="0.25">
      <c r="A19" s="23" t="s">
        <v>79</v>
      </c>
      <c r="B19" s="10">
        <f t="shared" si="1"/>
        <v>85476759888</v>
      </c>
      <c r="C19" s="10">
        <f>C13*70125*12</f>
        <v>77497101000</v>
      </c>
      <c r="D19" s="10"/>
      <c r="E19" s="10">
        <f>E13*213886*12</f>
        <v>7979658888</v>
      </c>
      <c r="F19" s="10"/>
      <c r="G19" s="9"/>
      <c r="H19" s="12"/>
      <c r="I19" s="12"/>
    </row>
    <row r="20" spans="1:9" x14ac:dyDescent="0.25">
      <c r="A20" s="23" t="s">
        <v>89</v>
      </c>
      <c r="B20" s="10">
        <f t="shared" si="1"/>
        <v>25554395483.720001</v>
      </c>
      <c r="C20" s="10">
        <f>+C18</f>
        <v>14297420472.408455</v>
      </c>
      <c r="D20" s="10">
        <f t="shared" ref="D20:G20" si="2">+D18</f>
        <v>5687201310.2415447</v>
      </c>
      <c r="E20" s="10">
        <f t="shared" si="2"/>
        <v>1835921951.55</v>
      </c>
      <c r="F20" s="10">
        <f t="shared" si="2"/>
        <v>2875601749.5</v>
      </c>
      <c r="G20" s="10">
        <f t="shared" si="2"/>
        <v>858250000.01999998</v>
      </c>
      <c r="H20" s="12"/>
      <c r="I20" s="12"/>
    </row>
    <row r="21" spans="1:9" x14ac:dyDescent="0.25">
      <c r="A21" s="12"/>
      <c r="B21" s="10"/>
      <c r="C21" s="10"/>
      <c r="D21" s="10"/>
      <c r="E21" s="10"/>
      <c r="F21" s="10"/>
      <c r="G21" s="12"/>
      <c r="H21" s="12"/>
      <c r="I21" s="12"/>
    </row>
    <row r="22" spans="1:9" x14ac:dyDescent="0.25">
      <c r="A22" s="22" t="s">
        <v>7</v>
      </c>
      <c r="B22" s="10"/>
      <c r="C22" s="10"/>
      <c r="D22" s="10"/>
      <c r="E22" s="10"/>
      <c r="F22" s="10"/>
      <c r="G22" s="10"/>
      <c r="H22" s="12"/>
      <c r="I22" s="12"/>
    </row>
    <row r="23" spans="1:9" x14ac:dyDescent="0.25">
      <c r="A23" s="23" t="s">
        <v>87</v>
      </c>
      <c r="B23" s="10">
        <f>B17</f>
        <v>21369189972</v>
      </c>
      <c r="C23" s="10"/>
      <c r="D23" s="10"/>
      <c r="E23" s="10"/>
      <c r="F23" s="10"/>
      <c r="G23" s="10"/>
      <c r="H23" s="12"/>
      <c r="I23" s="12"/>
    </row>
    <row r="24" spans="1:9" x14ac:dyDescent="0.25">
      <c r="A24" s="23" t="s">
        <v>88</v>
      </c>
      <c r="B24" s="10">
        <v>32472445483.699997</v>
      </c>
      <c r="C24" s="10"/>
      <c r="D24" s="10"/>
      <c r="E24" s="10"/>
      <c r="F24" s="10"/>
      <c r="G24" s="10"/>
      <c r="H24" s="12"/>
      <c r="I24" s="12"/>
    </row>
    <row r="25" spans="1:9" x14ac:dyDescent="0.25">
      <c r="A25" s="12"/>
      <c r="B25" s="12"/>
      <c r="C25" s="12"/>
      <c r="D25" s="12"/>
      <c r="E25" s="12"/>
      <c r="F25" s="12"/>
      <c r="G25" s="12"/>
      <c r="H25" s="12"/>
      <c r="I25" s="12"/>
    </row>
    <row r="26" spans="1:9" x14ac:dyDescent="0.25">
      <c r="A26" s="12" t="s">
        <v>8</v>
      </c>
      <c r="B26" s="12"/>
      <c r="C26" s="12"/>
      <c r="D26" s="12"/>
      <c r="E26" s="12"/>
      <c r="F26" s="12"/>
      <c r="G26" s="12"/>
      <c r="H26" s="12"/>
      <c r="I26" s="12"/>
    </row>
    <row r="27" spans="1:9" x14ac:dyDescent="0.25">
      <c r="A27" s="23" t="s">
        <v>37</v>
      </c>
      <c r="B27" s="24">
        <v>1.4619442416999999</v>
      </c>
      <c r="C27" s="24">
        <v>1.4619442416999999</v>
      </c>
      <c r="D27" s="24">
        <v>1.4619442416999999</v>
      </c>
      <c r="E27" s="24">
        <v>1.4619442416999999</v>
      </c>
      <c r="F27" s="24">
        <v>1.4619442416999999</v>
      </c>
      <c r="G27" s="24">
        <v>1.4619442416999999</v>
      </c>
      <c r="H27" s="12"/>
      <c r="I27" s="12"/>
    </row>
    <row r="28" spans="1:9" x14ac:dyDescent="0.25">
      <c r="A28" s="23" t="s">
        <v>90</v>
      </c>
      <c r="B28" s="24">
        <v>1.5319088546000001</v>
      </c>
      <c r="C28" s="24">
        <v>1.5319088546000001</v>
      </c>
      <c r="D28" s="24">
        <v>1.5319088546000001</v>
      </c>
      <c r="E28" s="24">
        <v>1.5319088546000001</v>
      </c>
      <c r="F28" s="24">
        <v>1.5319088546000001</v>
      </c>
      <c r="G28" s="24">
        <v>1.5319088546000001</v>
      </c>
      <c r="H28" s="12"/>
      <c r="I28" s="12"/>
    </row>
    <row r="29" spans="1:9" x14ac:dyDescent="0.25">
      <c r="A29" s="23" t="s">
        <v>10</v>
      </c>
      <c r="B29" s="11">
        <f>SUM(D29:E29)</f>
        <v>6248</v>
      </c>
      <c r="C29" s="11">
        <v>78777</v>
      </c>
      <c r="D29" s="11" t="s">
        <v>124</v>
      </c>
      <c r="E29" s="11">
        <v>6248</v>
      </c>
      <c r="F29" s="11"/>
      <c r="G29" s="11"/>
      <c r="H29" s="12"/>
      <c r="I29" s="12"/>
    </row>
    <row r="30" spans="1:9" x14ac:dyDescent="0.25">
      <c r="A30" s="12"/>
      <c r="B30" s="12"/>
      <c r="C30" s="12"/>
      <c r="D30" s="12"/>
      <c r="E30" s="12"/>
      <c r="F30" s="12"/>
      <c r="G30" s="12"/>
      <c r="H30" s="12"/>
      <c r="I30" s="12"/>
    </row>
    <row r="31" spans="1:9" x14ac:dyDescent="0.25">
      <c r="A31" s="25" t="s">
        <v>11</v>
      </c>
      <c r="B31" s="12"/>
      <c r="C31" s="12"/>
      <c r="D31" s="12"/>
      <c r="E31" s="12"/>
      <c r="F31" s="12"/>
      <c r="G31" s="12"/>
      <c r="H31" s="12"/>
      <c r="I31" s="12"/>
    </row>
    <row r="32" spans="1:9" x14ac:dyDescent="0.25">
      <c r="A32" s="12" t="s">
        <v>38</v>
      </c>
      <c r="B32" s="10">
        <f t="shared" ref="B32:G32" si="3">B16/B27</f>
        <v>15849875503.839468</v>
      </c>
      <c r="C32" s="10">
        <f t="shared" si="3"/>
        <v>8781751726.7848816</v>
      </c>
      <c r="D32" s="10">
        <f t="shared" si="3"/>
        <v>3512318286.241116</v>
      </c>
      <c r="E32" s="10">
        <f t="shared" si="3"/>
        <v>1094514234.851615</v>
      </c>
      <c r="F32" s="10">
        <f t="shared" si="3"/>
        <v>1896050820.3628299</v>
      </c>
      <c r="G32" s="10">
        <f t="shared" si="3"/>
        <v>565240435.59902894</v>
      </c>
      <c r="H32" s="12"/>
      <c r="I32" s="12"/>
    </row>
    <row r="33" spans="1:13" x14ac:dyDescent="0.25">
      <c r="A33" s="12" t="s">
        <v>91</v>
      </c>
      <c r="B33" s="10">
        <f>B18/B28</f>
        <v>16681407256.695152</v>
      </c>
      <c r="C33" s="10">
        <f t="shared" ref="C33" si="4">C18/C28</f>
        <v>9333075156.1858978</v>
      </c>
      <c r="D33" s="10">
        <f>D18/D28</f>
        <v>3712493268.2281165</v>
      </c>
      <c r="E33" s="10">
        <f>E18/E28</f>
        <v>1198453776.1741583</v>
      </c>
      <c r="F33" s="10">
        <f>F18/F28</f>
        <v>1877136319.7393713</v>
      </c>
      <c r="G33" s="10">
        <f>G18/G28</f>
        <v>560248736.36760807</v>
      </c>
      <c r="H33" s="12"/>
      <c r="I33" s="12"/>
    </row>
    <row r="34" spans="1:13" x14ac:dyDescent="0.25">
      <c r="A34" s="12" t="s">
        <v>39</v>
      </c>
      <c r="B34" s="10">
        <f>B32/B10</f>
        <v>173997.27205087277</v>
      </c>
      <c r="C34" s="10">
        <f>C32/C10</f>
        <v>139037.56632708287</v>
      </c>
      <c r="D34" s="10">
        <f>D32/D10</f>
        <v>139039.30722478821</v>
      </c>
      <c r="E34" s="10">
        <f>E32/E10</f>
        <v>409879.25409497501</v>
      </c>
      <c r="F34" s="10"/>
      <c r="G34" s="10"/>
      <c r="H34" s="12"/>
      <c r="I34" s="12"/>
    </row>
    <row r="35" spans="1:13" x14ac:dyDescent="0.25">
      <c r="A35" s="12" t="s">
        <v>92</v>
      </c>
      <c r="B35" s="10">
        <f>B33/B12</f>
        <v>177612.93927486317</v>
      </c>
      <c r="C35" s="10">
        <f>C33/C12</f>
        <v>143322.64595541361</v>
      </c>
      <c r="D35" s="10">
        <f>D33/D12</f>
        <v>143317.37446834915</v>
      </c>
      <c r="E35" s="10">
        <f>E33/E12</f>
        <v>413735.48084263236</v>
      </c>
      <c r="F35" s="10"/>
      <c r="G35" s="10"/>
      <c r="H35" s="12"/>
      <c r="I35" s="12"/>
    </row>
    <row r="36" spans="1:13" x14ac:dyDescent="0.25">
      <c r="A36" s="12"/>
      <c r="B36" s="12"/>
      <c r="C36" s="12"/>
      <c r="D36" s="12"/>
      <c r="E36" s="12"/>
      <c r="F36" s="12"/>
      <c r="G36" s="12"/>
      <c r="H36" s="12"/>
      <c r="I36" s="12"/>
    </row>
    <row r="37" spans="1:13" x14ac:dyDescent="0.25">
      <c r="A37" s="25" t="s">
        <v>14</v>
      </c>
      <c r="B37" s="12"/>
      <c r="C37" s="12"/>
      <c r="D37" s="12"/>
      <c r="E37" s="12"/>
      <c r="F37" s="12"/>
      <c r="G37" s="12"/>
      <c r="H37" s="12"/>
      <c r="I37" s="12"/>
    </row>
    <row r="38" spans="1:13" x14ac:dyDescent="0.25">
      <c r="A38" s="12"/>
      <c r="B38" s="12"/>
      <c r="C38" s="12"/>
      <c r="D38" s="12"/>
      <c r="E38" s="12"/>
      <c r="F38" s="12"/>
      <c r="G38" s="12"/>
      <c r="H38" s="12"/>
      <c r="I38" s="12"/>
    </row>
    <row r="39" spans="1:13" x14ac:dyDescent="0.25">
      <c r="A39" s="12" t="s">
        <v>15</v>
      </c>
      <c r="B39" s="12"/>
      <c r="C39" s="12"/>
      <c r="D39" s="12"/>
      <c r="E39" s="12"/>
      <c r="F39" s="12"/>
      <c r="G39" s="12"/>
      <c r="H39" s="12"/>
      <c r="I39" s="12"/>
    </row>
    <row r="40" spans="1:13" x14ac:dyDescent="0.25">
      <c r="A40" s="12" t="s">
        <v>16</v>
      </c>
      <c r="B40" s="7">
        <f>((C40*C17+E40*E17)/(C17+E17))</f>
        <v>110.63640037611137</v>
      </c>
      <c r="C40" s="7">
        <f t="shared" ref="C40" si="5">(C11)/C29*100</f>
        <v>116.90468030008758</v>
      </c>
      <c r="D40" s="7" t="e">
        <f t="shared" ref="D40:F40" si="6">(D11)/D29*100</f>
        <v>#VALUE!</v>
      </c>
      <c r="E40" s="7">
        <f t="shared" si="6"/>
        <v>49.759923175416134</v>
      </c>
      <c r="F40" s="7" t="e">
        <f t="shared" si="6"/>
        <v>#DIV/0!</v>
      </c>
      <c r="G40" s="12"/>
      <c r="H40" s="12"/>
      <c r="I40" s="24"/>
      <c r="J40" s="13"/>
      <c r="K40" s="13"/>
      <c r="L40" s="13"/>
      <c r="M40" s="13"/>
    </row>
    <row r="41" spans="1:13" x14ac:dyDescent="0.25">
      <c r="A41" s="12" t="s">
        <v>17</v>
      </c>
      <c r="B41" s="7">
        <f>((C41*C18+E41*E18)/(C18+E18))</f>
        <v>78.531897064588463</v>
      </c>
      <c r="C41" s="7">
        <f t="shared" ref="C41" si="7">(C12)/C29*100</f>
        <v>82.662875373945866</v>
      </c>
      <c r="D41" s="7" t="e">
        <f t="shared" ref="D41:F41" si="8">(D12)/D29*100</f>
        <v>#VALUE!</v>
      </c>
      <c r="E41" s="7">
        <f t="shared" si="8"/>
        <v>46.36150234741784</v>
      </c>
      <c r="F41" s="7" t="e">
        <f t="shared" si="8"/>
        <v>#DIV/0!</v>
      </c>
      <c r="G41" s="12"/>
      <c r="H41" s="12"/>
      <c r="I41" s="24"/>
      <c r="J41" s="13"/>
      <c r="K41" s="13"/>
      <c r="L41" s="13"/>
      <c r="M41" s="13"/>
    </row>
    <row r="42" spans="1:13" x14ac:dyDescent="0.25">
      <c r="A42" s="12"/>
      <c r="B42" s="12"/>
      <c r="C42" s="12"/>
      <c r="D42" s="12"/>
      <c r="E42" s="12"/>
      <c r="F42" s="12"/>
      <c r="G42" s="12"/>
      <c r="H42" s="12"/>
      <c r="I42" s="24"/>
      <c r="J42" s="13"/>
      <c r="K42" s="13"/>
      <c r="L42" s="13"/>
      <c r="M42" s="13"/>
    </row>
    <row r="43" spans="1:13" x14ac:dyDescent="0.25">
      <c r="A43" s="12" t="s">
        <v>18</v>
      </c>
      <c r="B43" s="12"/>
      <c r="C43" s="12"/>
      <c r="D43" s="12"/>
      <c r="E43" s="12"/>
      <c r="F43" s="12"/>
      <c r="G43" s="12"/>
      <c r="H43" s="12"/>
      <c r="I43" s="24"/>
      <c r="J43" s="13"/>
      <c r="K43" s="13"/>
      <c r="L43" s="13"/>
      <c r="M43" s="13"/>
    </row>
    <row r="44" spans="1:13" x14ac:dyDescent="0.25">
      <c r="A44" s="12" t="s">
        <v>19</v>
      </c>
      <c r="B44" s="7">
        <f>B12/B11*100</f>
        <v>98.652353392225052</v>
      </c>
      <c r="C44" s="7">
        <f>(C12+D12)/C11*100</f>
        <v>98.83741973780414</v>
      </c>
      <c r="D44" s="7" t="e">
        <f>D12/D11*100</f>
        <v>#DIV/0!</v>
      </c>
      <c r="E44" s="7">
        <f>E12/E11*100</f>
        <v>93.170365605232121</v>
      </c>
      <c r="F44" s="7"/>
      <c r="G44" s="12"/>
      <c r="H44" s="12"/>
      <c r="I44" s="24"/>
      <c r="J44" s="13"/>
      <c r="K44" s="13"/>
      <c r="L44" s="13"/>
      <c r="M44" s="13"/>
    </row>
    <row r="45" spans="1:13" x14ac:dyDescent="0.25">
      <c r="A45" s="12" t="s">
        <v>20</v>
      </c>
      <c r="B45" s="7">
        <f>B18/B17*100</f>
        <v>119.58523237054781</v>
      </c>
      <c r="C45" s="7">
        <f>(C18+D18)/C17*100</f>
        <v>103.15029349368825</v>
      </c>
      <c r="D45" s="7" t="e">
        <f>D18/D17*100</f>
        <v>#DIV/0!</v>
      </c>
      <c r="E45" s="7">
        <f>E18/E17*100</f>
        <v>92.030096891028919</v>
      </c>
      <c r="F45" s="7" t="e">
        <f>F18/F17*100</f>
        <v>#DIV/0!</v>
      </c>
      <c r="G45" s="7" t="e">
        <f>G18/G17*100</f>
        <v>#DIV/0!</v>
      </c>
      <c r="H45" s="12"/>
      <c r="I45" s="24"/>
      <c r="J45" s="13"/>
      <c r="K45" s="13"/>
      <c r="L45" s="13"/>
      <c r="M45" s="13"/>
    </row>
    <row r="46" spans="1:13" x14ac:dyDescent="0.25">
      <c r="A46" s="12" t="s">
        <v>21</v>
      </c>
      <c r="B46" s="7">
        <f>AVERAGE(B44:B45)</f>
        <v>109.11879288138644</v>
      </c>
      <c r="C46" s="7">
        <f t="shared" ref="C46" si="9">AVERAGE(C44:C45)</f>
        <v>100.9938566157462</v>
      </c>
      <c r="D46" s="7" t="e">
        <f t="shared" ref="D46:G46" si="10">AVERAGE(D44:D45)</f>
        <v>#DIV/0!</v>
      </c>
      <c r="E46" s="7">
        <f t="shared" si="10"/>
        <v>92.600231248130513</v>
      </c>
      <c r="F46" s="7" t="e">
        <f t="shared" si="10"/>
        <v>#DIV/0!</v>
      </c>
      <c r="G46" s="7" t="e">
        <f t="shared" si="10"/>
        <v>#DIV/0!</v>
      </c>
      <c r="H46" s="12"/>
      <c r="I46" s="24"/>
      <c r="J46" s="13"/>
      <c r="K46" s="13"/>
      <c r="L46" s="13"/>
      <c r="M46" s="13"/>
    </row>
    <row r="47" spans="1:13" x14ac:dyDescent="0.25">
      <c r="A47" s="12"/>
      <c r="B47" s="7"/>
      <c r="C47" s="7"/>
      <c r="D47" s="7"/>
      <c r="E47" s="7"/>
      <c r="F47" s="7"/>
      <c r="G47" s="7"/>
      <c r="H47" s="12"/>
      <c r="I47" s="24"/>
      <c r="J47" s="13"/>
      <c r="K47" s="13"/>
      <c r="L47" s="13"/>
      <c r="M47" s="13"/>
    </row>
    <row r="48" spans="1:13" x14ac:dyDescent="0.25">
      <c r="A48" s="12" t="s">
        <v>22</v>
      </c>
      <c r="B48" s="12"/>
      <c r="C48" s="12"/>
      <c r="D48" s="12"/>
      <c r="E48" s="12"/>
      <c r="F48" s="12"/>
      <c r="G48" s="12"/>
      <c r="H48" s="12"/>
      <c r="I48" s="24"/>
      <c r="J48" s="13"/>
      <c r="K48" s="13"/>
      <c r="L48" s="13"/>
      <c r="M48" s="13"/>
    </row>
    <row r="49" spans="1:13" x14ac:dyDescent="0.25">
      <c r="A49" s="12" t="s">
        <v>23</v>
      </c>
      <c r="B49" s="7">
        <f>B12/(B13*4)*100</f>
        <v>24.663088348056263</v>
      </c>
      <c r="C49" s="7">
        <f>(C12+D12)/(C13*4)*100</f>
        <v>24.709354934451035</v>
      </c>
      <c r="D49" s="7" t="e">
        <f>D12/(D13*4)*100</f>
        <v>#DIV/0!</v>
      </c>
      <c r="E49" s="7">
        <f t="shared" ref="E49" si="11">E12/(E13*4)*100</f>
        <v>23.29259140130803</v>
      </c>
      <c r="F49" s="7"/>
      <c r="G49" s="7"/>
      <c r="H49" s="12"/>
      <c r="I49" s="24"/>
      <c r="J49" s="13"/>
      <c r="K49" s="13"/>
      <c r="L49" s="13"/>
      <c r="M49" s="13"/>
    </row>
    <row r="50" spans="1:13" x14ac:dyDescent="0.25">
      <c r="A50" s="12" t="s">
        <v>24</v>
      </c>
      <c r="B50" s="7">
        <f>B18/B19*100</f>
        <v>29.896308092636954</v>
      </c>
      <c r="C50" s="7">
        <f>(C18+D18)/C19*100</f>
        <v>25.787573373422063</v>
      </c>
      <c r="D50" s="7" t="e">
        <f>D18/D19*100</f>
        <v>#DIV/0!</v>
      </c>
      <c r="E50" s="7">
        <f>E18/E19*100</f>
        <v>23.00752422275723</v>
      </c>
      <c r="F50" s="7" t="e">
        <f>F18/F19*100</f>
        <v>#DIV/0!</v>
      </c>
      <c r="G50" s="7" t="e">
        <f>G18/G19*100</f>
        <v>#DIV/0!</v>
      </c>
      <c r="H50" s="12"/>
      <c r="I50" s="24"/>
      <c r="J50" s="13"/>
      <c r="K50" s="13"/>
      <c r="L50" s="13"/>
      <c r="M50" s="13"/>
    </row>
    <row r="51" spans="1:13" x14ac:dyDescent="0.25">
      <c r="A51" s="12" t="s">
        <v>25</v>
      </c>
      <c r="B51" s="7">
        <f>(B49+B50)/2</f>
        <v>27.27969822034661</v>
      </c>
      <c r="C51" s="7">
        <f t="shared" ref="C51" si="12">(C49+C50)/2</f>
        <v>25.248464153936549</v>
      </c>
      <c r="D51" s="7" t="e">
        <f t="shared" ref="D51:E51" si="13">(D49+D50)/2</f>
        <v>#DIV/0!</v>
      </c>
      <c r="E51" s="7">
        <f t="shared" si="13"/>
        <v>23.150057812032628</v>
      </c>
      <c r="F51" s="7" t="e">
        <f t="shared" ref="F51:G51" si="14">AVERAGE(F49:F50)</f>
        <v>#DIV/0!</v>
      </c>
      <c r="G51" s="7" t="e">
        <f t="shared" si="14"/>
        <v>#DIV/0!</v>
      </c>
      <c r="H51" s="12"/>
      <c r="I51" s="24"/>
      <c r="J51" s="13"/>
      <c r="K51" s="13"/>
      <c r="L51" s="13"/>
      <c r="M51" s="13"/>
    </row>
    <row r="52" spans="1:13" x14ac:dyDescent="0.25">
      <c r="A52" s="12"/>
      <c r="B52" s="12"/>
      <c r="C52" s="12"/>
      <c r="D52" s="12"/>
      <c r="E52" s="12"/>
      <c r="F52" s="12"/>
      <c r="G52" s="12"/>
      <c r="H52" s="12"/>
      <c r="I52" s="24"/>
      <c r="J52" s="13"/>
      <c r="K52" s="13"/>
      <c r="L52" s="13"/>
      <c r="M52" s="13"/>
    </row>
    <row r="53" spans="1:13" x14ac:dyDescent="0.25">
      <c r="A53" s="12" t="s">
        <v>57</v>
      </c>
      <c r="B53" s="12"/>
      <c r="C53" s="12"/>
      <c r="D53" s="12"/>
      <c r="E53" s="12"/>
      <c r="F53" s="12"/>
      <c r="G53" s="12"/>
      <c r="H53" s="12"/>
      <c r="I53" s="24"/>
      <c r="J53" s="13"/>
      <c r="K53" s="13"/>
      <c r="L53" s="13"/>
      <c r="M53" s="13"/>
    </row>
    <row r="54" spans="1:13" x14ac:dyDescent="0.25">
      <c r="A54" s="12" t="s">
        <v>26</v>
      </c>
      <c r="B54" s="7">
        <f>(B20/B18)*100</f>
        <v>100</v>
      </c>
      <c r="C54" s="7">
        <f t="shared" ref="C54" si="15">(C20/C18)*100</f>
        <v>100</v>
      </c>
      <c r="D54" s="7">
        <f t="shared" ref="D54:F54" si="16">(D20/D18)*100</f>
        <v>100</v>
      </c>
      <c r="E54" s="7">
        <f t="shared" si="16"/>
        <v>100</v>
      </c>
      <c r="F54" s="7">
        <f t="shared" si="16"/>
        <v>100</v>
      </c>
      <c r="G54" s="7"/>
      <c r="H54" s="12"/>
      <c r="I54" s="24"/>
      <c r="J54" s="13"/>
      <c r="K54" s="13"/>
      <c r="L54" s="13"/>
      <c r="M54" s="13"/>
    </row>
    <row r="55" spans="1:13" x14ac:dyDescent="0.25">
      <c r="A55" s="12"/>
      <c r="B55" s="12"/>
      <c r="C55" s="12"/>
      <c r="D55" s="12"/>
      <c r="E55" s="12"/>
      <c r="F55" s="12"/>
      <c r="G55" s="12"/>
      <c r="H55" s="12"/>
      <c r="I55" s="24"/>
      <c r="J55" s="13"/>
      <c r="K55" s="13"/>
      <c r="L55" s="13"/>
      <c r="M55" s="13"/>
    </row>
    <row r="56" spans="1:13" x14ac:dyDescent="0.25">
      <c r="A56" s="12" t="s">
        <v>27</v>
      </c>
      <c r="B56" s="12"/>
      <c r="C56" s="12"/>
      <c r="D56" s="12"/>
      <c r="E56" s="12"/>
      <c r="F56" s="12"/>
      <c r="G56" s="12"/>
      <c r="H56" s="12"/>
      <c r="I56" s="24"/>
      <c r="J56" s="13"/>
      <c r="K56" s="13"/>
      <c r="L56" s="13"/>
      <c r="M56" s="13"/>
    </row>
    <row r="57" spans="1:13" x14ac:dyDescent="0.25">
      <c r="A57" s="12" t="s">
        <v>28</v>
      </c>
      <c r="B57" s="7">
        <f>((B12/B10)-1)*100</f>
        <v>3.1037990617613032</v>
      </c>
      <c r="C57" s="7">
        <f>(((C12+D12)/C10)-1)*100</f>
        <v>44.113192212494013</v>
      </c>
      <c r="D57" s="7">
        <f>((D12/D10)-1)*100</f>
        <v>2.5440726274675418</v>
      </c>
      <c r="E57" s="7">
        <f>((E12/E10)-1)*100</f>
        <v>8.4758457121457909</v>
      </c>
      <c r="F57" s="7"/>
      <c r="G57" s="7"/>
      <c r="H57" s="12"/>
      <c r="I57" s="24"/>
      <c r="J57" s="13"/>
      <c r="K57" s="13"/>
      <c r="L57" s="13"/>
      <c r="M57" s="13"/>
    </row>
    <row r="58" spans="1:13" x14ac:dyDescent="0.25">
      <c r="A58" s="12" t="s">
        <v>29</v>
      </c>
      <c r="B58" s="7">
        <f>((B33/B32)-1)*100</f>
        <v>5.2462983236319705</v>
      </c>
      <c r="C58" s="7">
        <f>(((C33+D33)/C32)-1)*100</f>
        <v>48.553145548674891</v>
      </c>
      <c r="D58" s="7">
        <f t="shared" ref="D58:G58" si="17">((D33/D32)-1)*100</f>
        <v>5.6992267122017548</v>
      </c>
      <c r="E58" s="7">
        <f t="shared" si="17"/>
        <v>9.4964083620743942</v>
      </c>
      <c r="F58" s="7">
        <f t="shared" si="17"/>
        <v>-0.99757350490421448</v>
      </c>
      <c r="G58" s="7">
        <f t="shared" si="17"/>
        <v>-0.88311078207466975</v>
      </c>
      <c r="H58" s="12"/>
      <c r="I58" s="24"/>
      <c r="J58" s="13"/>
      <c r="K58" s="13"/>
      <c r="L58" s="13"/>
      <c r="M58" s="13"/>
    </row>
    <row r="59" spans="1:13" x14ac:dyDescent="0.25">
      <c r="A59" s="12" t="s">
        <v>30</v>
      </c>
      <c r="B59" s="7">
        <f>((B35/B34)-1)*100</f>
        <v>2.0780022476060811</v>
      </c>
      <c r="C59" s="7">
        <f>(((C35+D35)/C34)-1)*100</f>
        <v>106.16012491864844</v>
      </c>
      <c r="D59" s="7">
        <f t="shared" ref="D59:E59" si="18">((D35/D34)-1)*100</f>
        <v>3.0768761215448803</v>
      </c>
      <c r="E59" s="7">
        <f t="shared" si="18"/>
        <v>0.940820182805302</v>
      </c>
      <c r="F59" s="7"/>
      <c r="G59" s="7"/>
      <c r="H59" s="12"/>
      <c r="I59" s="24"/>
      <c r="J59" s="13"/>
      <c r="K59" s="13"/>
      <c r="L59" s="13"/>
      <c r="M59" s="13"/>
    </row>
    <row r="60" spans="1:13" x14ac:dyDescent="0.25">
      <c r="A60" s="12"/>
      <c r="B60" s="7"/>
      <c r="C60" s="7"/>
      <c r="D60" s="7"/>
      <c r="E60" s="7"/>
      <c r="F60" s="7"/>
      <c r="G60" s="7"/>
      <c r="H60" s="12"/>
      <c r="I60" s="24"/>
      <c r="J60" s="13"/>
      <c r="K60" s="13"/>
      <c r="L60" s="13"/>
      <c r="M60" s="13"/>
    </row>
    <row r="61" spans="1:13" x14ac:dyDescent="0.25">
      <c r="A61" s="12" t="s">
        <v>31</v>
      </c>
      <c r="B61" s="12"/>
      <c r="C61" s="12"/>
      <c r="D61" s="12"/>
      <c r="E61" s="12"/>
      <c r="F61" s="12"/>
      <c r="G61" s="12"/>
      <c r="H61" s="12"/>
      <c r="I61" s="24"/>
      <c r="J61" s="13"/>
      <c r="K61" s="13"/>
      <c r="L61" s="13"/>
      <c r="M61" s="13"/>
    </row>
    <row r="62" spans="1:13" x14ac:dyDescent="0.25">
      <c r="A62" s="12" t="s">
        <v>58</v>
      </c>
      <c r="B62" s="10">
        <f>B17/(B11*3)</f>
        <v>74819.73597470668</v>
      </c>
      <c r="C62" s="10">
        <f t="shared" ref="C62" si="19">C17/(C11*3)</f>
        <v>70125</v>
      </c>
      <c r="D62" s="10" t="e">
        <f t="shared" ref="D62:E63" si="20">D17/(D11*3)</f>
        <v>#DIV/0!</v>
      </c>
      <c r="E62" s="10">
        <f t="shared" si="20"/>
        <v>213886</v>
      </c>
      <c r="F62" s="10"/>
      <c r="G62" s="10"/>
      <c r="H62" s="12"/>
      <c r="I62" s="24"/>
      <c r="J62" s="13"/>
      <c r="K62" s="13"/>
      <c r="L62" s="13"/>
      <c r="M62" s="13"/>
    </row>
    <row r="63" spans="1:13" x14ac:dyDescent="0.25">
      <c r="A63" s="12" t="s">
        <v>59</v>
      </c>
      <c r="B63" s="10">
        <f>B18/(B12*3)</f>
        <v>90695.611455564998</v>
      </c>
      <c r="C63" s="10">
        <f>(C18+D18)/(C12*3)</f>
        <v>102297.43231733536</v>
      </c>
      <c r="D63" s="10">
        <f>D18/(D12*3)</f>
        <v>73183.05165536268</v>
      </c>
      <c r="E63" s="10">
        <f t="shared" si="20"/>
        <v>211268.34885500575</v>
      </c>
      <c r="F63" s="10"/>
      <c r="G63" s="10"/>
      <c r="H63" s="12"/>
      <c r="I63" s="24"/>
      <c r="J63" s="13"/>
      <c r="K63" s="13"/>
      <c r="L63" s="13"/>
      <c r="M63" s="13"/>
    </row>
    <row r="64" spans="1:13" x14ac:dyDescent="0.25">
      <c r="A64" s="12" t="s">
        <v>32</v>
      </c>
      <c r="B64" s="7">
        <f>(B62/B63)*B46</f>
        <v>90.018018978393314</v>
      </c>
      <c r="C64" s="7">
        <f t="shared" ref="C64" si="21">(C62/C63)*C46</f>
        <v>69.231397452964728</v>
      </c>
      <c r="D64" s="7" t="e">
        <f t="shared" ref="D64:E64" si="22">(D62/D63)*D46</f>
        <v>#DIV/0!</v>
      </c>
      <c r="E64" s="7">
        <f t="shared" si="22"/>
        <v>93.747564024985593</v>
      </c>
      <c r="F64" s="7"/>
      <c r="G64" s="7"/>
      <c r="H64" s="12"/>
      <c r="I64" s="24"/>
      <c r="J64" s="13"/>
      <c r="K64" s="13"/>
      <c r="L64" s="13"/>
      <c r="M64" s="13"/>
    </row>
    <row r="65" spans="1:13" x14ac:dyDescent="0.25">
      <c r="A65" s="7" t="s">
        <v>60</v>
      </c>
      <c r="B65" s="10">
        <f>B17/B11</f>
        <v>224459.20792412004</v>
      </c>
      <c r="C65" s="10">
        <f t="shared" ref="C65" si="23">C17/C11</f>
        <v>210375</v>
      </c>
      <c r="D65" s="10" t="e">
        <f t="shared" ref="D65:E66" si="24">D17/D11</f>
        <v>#DIV/0!</v>
      </c>
      <c r="E65" s="10">
        <f t="shared" si="24"/>
        <v>641658</v>
      </c>
      <c r="F65" s="7"/>
      <c r="G65" s="7"/>
      <c r="H65" s="12"/>
      <c r="I65" s="24"/>
      <c r="J65" s="13"/>
      <c r="K65" s="13"/>
      <c r="L65" s="13"/>
      <c r="M65" s="13"/>
    </row>
    <row r="66" spans="1:13" x14ac:dyDescent="0.25">
      <c r="A66" s="7" t="s">
        <v>61</v>
      </c>
      <c r="B66" s="10">
        <f>B18/B12</f>
        <v>272086.83436669502</v>
      </c>
      <c r="C66" s="10">
        <f>(C18+D18)/C12</f>
        <v>306892.29695200606</v>
      </c>
      <c r="D66" s="10">
        <f t="shared" si="24"/>
        <v>219549.15496608804</v>
      </c>
      <c r="E66" s="10">
        <f t="shared" si="24"/>
        <v>633805.04656501731</v>
      </c>
      <c r="F66" s="7"/>
      <c r="G66" s="7"/>
      <c r="H66" s="12"/>
      <c r="I66" s="24"/>
      <c r="J66" s="13"/>
      <c r="K66" s="13"/>
      <c r="L66" s="13"/>
      <c r="M66" s="13"/>
    </row>
    <row r="67" spans="1:13" x14ac:dyDescent="0.25">
      <c r="A67" s="12"/>
      <c r="B67" s="7"/>
      <c r="C67" s="7"/>
      <c r="D67" s="7"/>
      <c r="E67" s="7"/>
      <c r="F67" s="7"/>
      <c r="G67" s="7"/>
      <c r="H67" s="12"/>
      <c r="I67" s="24"/>
      <c r="J67" s="13"/>
      <c r="K67" s="13"/>
      <c r="L67" s="13"/>
      <c r="M67" s="13"/>
    </row>
    <row r="68" spans="1:13" x14ac:dyDescent="0.25">
      <c r="A68" s="12" t="s">
        <v>33</v>
      </c>
      <c r="B68" s="7"/>
      <c r="C68" s="7"/>
      <c r="D68" s="7"/>
      <c r="E68" s="7"/>
      <c r="F68" s="7"/>
      <c r="G68" s="7"/>
      <c r="H68" s="12"/>
      <c r="I68" s="24"/>
      <c r="J68" s="13"/>
      <c r="K68" s="13"/>
      <c r="L68" s="13"/>
      <c r="M68" s="13"/>
    </row>
    <row r="69" spans="1:13" x14ac:dyDescent="0.25">
      <c r="A69" s="12" t="s">
        <v>34</v>
      </c>
      <c r="B69" s="7">
        <f>(B24/B23)*100</f>
        <v>151.9591782666941</v>
      </c>
      <c r="C69" s="7"/>
      <c r="D69" s="7"/>
      <c r="E69" s="7"/>
      <c r="F69" s="7"/>
      <c r="G69" s="7"/>
      <c r="H69" s="12"/>
      <c r="I69" s="24"/>
      <c r="J69" s="13"/>
      <c r="K69" s="13"/>
      <c r="L69" s="13"/>
      <c r="M69" s="13"/>
    </row>
    <row r="70" spans="1:13" x14ac:dyDescent="0.25">
      <c r="A70" s="12" t="s">
        <v>35</v>
      </c>
      <c r="B70" s="7">
        <f>(B18/B24)*100</f>
        <v>78.695629796491275</v>
      </c>
      <c r="C70" s="7"/>
      <c r="D70" s="7"/>
      <c r="E70" s="7"/>
      <c r="F70" s="7"/>
      <c r="G70" s="7"/>
      <c r="H70" s="12"/>
      <c r="I70" s="24"/>
      <c r="J70" s="13"/>
      <c r="K70" s="13"/>
      <c r="L70" s="13"/>
      <c r="M70" s="13"/>
    </row>
    <row r="71" spans="1:13" ht="15.75" thickBot="1" x14ac:dyDescent="0.3">
      <c r="A71" s="26"/>
      <c r="B71" s="26"/>
      <c r="C71" s="26"/>
      <c r="D71" s="26"/>
      <c r="E71" s="26"/>
      <c r="F71" s="26"/>
      <c r="G71" s="26"/>
      <c r="H71" s="12"/>
      <c r="I71" s="12"/>
    </row>
    <row r="72" spans="1:13" ht="15.75" thickTop="1" x14ac:dyDescent="0.25">
      <c r="A72" s="12"/>
      <c r="B72" s="12"/>
      <c r="C72" s="12"/>
      <c r="D72" s="12"/>
      <c r="E72" s="12"/>
      <c r="F72" s="12"/>
      <c r="G72" s="12"/>
      <c r="H72" s="12"/>
      <c r="I72" s="12"/>
    </row>
    <row r="73" spans="1:13" x14ac:dyDescent="0.25">
      <c r="A73" s="12" t="s">
        <v>40</v>
      </c>
      <c r="B73" s="12"/>
      <c r="C73" s="12"/>
      <c r="D73" s="12"/>
      <c r="E73" s="12"/>
      <c r="F73" s="12"/>
      <c r="G73" s="12"/>
      <c r="H73" s="12"/>
      <c r="I73" s="12"/>
    </row>
    <row r="74" spans="1:13" x14ac:dyDescent="0.25">
      <c r="A74" s="12" t="s">
        <v>121</v>
      </c>
      <c r="B74" s="12"/>
      <c r="C74" s="12"/>
      <c r="D74" s="12"/>
      <c r="E74" s="12"/>
      <c r="F74" s="12"/>
      <c r="G74" s="12"/>
      <c r="H74" s="12"/>
      <c r="I74" s="12"/>
    </row>
    <row r="75" spans="1:13" x14ac:dyDescent="0.25">
      <c r="A75" s="1" t="s">
        <v>84</v>
      </c>
      <c r="B75" s="8"/>
      <c r="C75" s="8"/>
      <c r="D75" s="8"/>
      <c r="E75" s="8"/>
    </row>
    <row r="76" spans="1:13" x14ac:dyDescent="0.25">
      <c r="A76" s="1" t="s">
        <v>85</v>
      </c>
    </row>
    <row r="78" spans="1:13" x14ac:dyDescent="0.25">
      <c r="A78" s="1" t="s">
        <v>73</v>
      </c>
    </row>
    <row r="79" spans="1:13" x14ac:dyDescent="0.25">
      <c r="A79" s="1" t="s">
        <v>75</v>
      </c>
    </row>
    <row r="80" spans="1:13" x14ac:dyDescent="0.25">
      <c r="A80" s="1" t="s">
        <v>74</v>
      </c>
    </row>
  </sheetData>
  <mergeCells count="6">
    <mergeCell ref="A2:G2"/>
    <mergeCell ref="A4:A5"/>
    <mergeCell ref="B4:B5"/>
    <mergeCell ref="F4:F5"/>
    <mergeCell ref="G4:G5"/>
    <mergeCell ref="C5:D5"/>
  </mergeCells>
  <pageMargins left="0.7" right="0.7" top="0.75" bottom="0.75" header="0.3" footer="0.3"/>
  <pageSetup scale="3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0"/>
  <sheetViews>
    <sheetView workbookViewId="0">
      <selection activeCell="B8" sqref="B8"/>
    </sheetView>
  </sheetViews>
  <sheetFormatPr baseColWidth="10" defaultRowHeight="15" x14ac:dyDescent="0.25"/>
  <cols>
    <col min="1" max="1" width="55.140625" style="1" customWidth="1"/>
    <col min="2" max="3" width="16.140625" style="1" customWidth="1"/>
    <col min="4" max="4" width="17" style="1" bestFit="1" customWidth="1"/>
    <col min="5" max="5" width="16.42578125" style="1" bestFit="1" customWidth="1"/>
    <col min="6" max="6" width="14.7109375" style="1" bestFit="1" customWidth="1"/>
    <col min="7" max="7" width="17.5703125" style="1" bestFit="1" customWidth="1"/>
    <col min="8" max="16384" width="11.42578125" style="1"/>
  </cols>
  <sheetData>
    <row r="1" spans="1:8" x14ac:dyDescent="0.25">
      <c r="A1" s="12"/>
      <c r="B1" s="12"/>
      <c r="C1" s="12"/>
      <c r="D1" s="12"/>
      <c r="E1" s="12"/>
      <c r="F1" s="12"/>
      <c r="G1" s="12"/>
      <c r="H1" s="12"/>
    </row>
    <row r="2" spans="1:8" ht="15.75" x14ac:dyDescent="0.25">
      <c r="A2" s="28" t="s">
        <v>93</v>
      </c>
      <c r="B2" s="28"/>
      <c r="C2" s="28"/>
      <c r="D2" s="28"/>
      <c r="E2" s="28"/>
      <c r="F2" s="28"/>
      <c r="G2" s="28"/>
      <c r="H2" s="12"/>
    </row>
    <row r="3" spans="1:8" x14ac:dyDescent="0.25">
      <c r="A3" s="12"/>
      <c r="B3" s="12"/>
      <c r="C3" s="12"/>
      <c r="D3" s="12"/>
      <c r="E3" s="12"/>
      <c r="F3" s="12"/>
      <c r="G3" s="12"/>
      <c r="H3" s="12"/>
    </row>
    <row r="4" spans="1:8" x14ac:dyDescent="0.25">
      <c r="A4" s="29" t="s">
        <v>0</v>
      </c>
      <c r="B4" s="29" t="s">
        <v>62</v>
      </c>
      <c r="C4" s="36" t="s">
        <v>1</v>
      </c>
      <c r="D4" s="36"/>
      <c r="E4" s="36"/>
      <c r="F4" s="29" t="s">
        <v>2</v>
      </c>
      <c r="G4" s="29" t="s">
        <v>3</v>
      </c>
      <c r="H4" s="12"/>
    </row>
    <row r="5" spans="1:8" ht="15.75" thickBot="1" x14ac:dyDescent="0.3">
      <c r="A5" s="32"/>
      <c r="B5" s="32"/>
      <c r="C5" s="33" t="s">
        <v>63</v>
      </c>
      <c r="D5" s="33"/>
      <c r="E5" s="34" t="s">
        <v>64</v>
      </c>
      <c r="F5" s="32"/>
      <c r="G5" s="32"/>
      <c r="H5" s="12"/>
    </row>
    <row r="6" spans="1:8" ht="15.75" thickTop="1" x14ac:dyDescent="0.25">
      <c r="A6" s="12"/>
      <c r="B6" s="12"/>
      <c r="C6" s="35" t="s">
        <v>122</v>
      </c>
      <c r="D6" s="35" t="s">
        <v>123</v>
      </c>
      <c r="E6" s="12"/>
      <c r="F6" s="12"/>
      <c r="G6" s="12"/>
      <c r="H6" s="12"/>
    </row>
    <row r="7" spans="1:8" x14ac:dyDescent="0.25">
      <c r="A7" s="25" t="s">
        <v>4</v>
      </c>
      <c r="B7" s="12"/>
      <c r="C7" s="12"/>
      <c r="D7" s="12"/>
      <c r="E7" s="12"/>
      <c r="F7" s="12"/>
      <c r="G7" s="12"/>
      <c r="H7" s="12"/>
    </row>
    <row r="8" spans="1:8" x14ac:dyDescent="0.25">
      <c r="A8" s="12"/>
      <c r="B8" s="12"/>
      <c r="C8" s="12"/>
      <c r="D8" s="12"/>
      <c r="E8" s="12"/>
      <c r="F8" s="12"/>
      <c r="G8" s="12"/>
      <c r="H8" s="12"/>
    </row>
    <row r="9" spans="1:8" x14ac:dyDescent="0.25">
      <c r="A9" s="12" t="s">
        <v>71</v>
      </c>
      <c r="B9" s="12"/>
      <c r="C9" s="12"/>
      <c r="D9" s="12"/>
      <c r="E9" s="12"/>
      <c r="F9" s="12"/>
      <c r="G9" s="12"/>
      <c r="H9" s="12"/>
    </row>
    <row r="10" spans="1:8" x14ac:dyDescent="0.25">
      <c r="A10" s="23" t="s">
        <v>41</v>
      </c>
      <c r="B10" s="10">
        <f>SUM(C10:H10)</f>
        <v>91796</v>
      </c>
      <c r="C10" s="10">
        <v>63617.333333333336</v>
      </c>
      <c r="D10" s="10">
        <v>25442.333333333332</v>
      </c>
      <c r="E10" s="10">
        <v>2736.3333333333335</v>
      </c>
      <c r="F10" s="10"/>
      <c r="G10" s="12"/>
      <c r="H10" s="12"/>
    </row>
    <row r="11" spans="1:8" x14ac:dyDescent="0.25">
      <c r="A11" s="23" t="s">
        <v>94</v>
      </c>
      <c r="B11" s="10">
        <f t="shared" ref="B11:B13" si="0">SUM(C11:H11)</f>
        <v>95203</v>
      </c>
      <c r="C11" s="10">
        <v>92094</v>
      </c>
      <c r="D11" s="10"/>
      <c r="E11" s="10">
        <v>3109</v>
      </c>
      <c r="F11" s="10"/>
      <c r="G11" s="12"/>
      <c r="H11" s="12"/>
    </row>
    <row r="12" spans="1:8" x14ac:dyDescent="0.25">
      <c r="A12" s="23" t="s">
        <v>95</v>
      </c>
      <c r="B12" s="10">
        <f t="shared" si="0"/>
        <v>94767.333333333328</v>
      </c>
      <c r="C12" s="10">
        <v>65685.333333333328</v>
      </c>
      <c r="D12" s="10">
        <v>26104</v>
      </c>
      <c r="E12" s="10">
        <v>2978</v>
      </c>
      <c r="F12" s="10"/>
      <c r="G12" s="12"/>
      <c r="H12" s="12"/>
    </row>
    <row r="13" spans="1:8" x14ac:dyDescent="0.25">
      <c r="A13" s="23" t="s">
        <v>79</v>
      </c>
      <c r="B13" s="10">
        <f t="shared" si="0"/>
        <v>95203</v>
      </c>
      <c r="C13" s="10">
        <v>92094</v>
      </c>
      <c r="D13" s="10"/>
      <c r="E13" s="10">
        <v>3109</v>
      </c>
      <c r="F13" s="10"/>
      <c r="G13" s="12"/>
      <c r="H13" s="12"/>
    </row>
    <row r="14" spans="1:8" x14ac:dyDescent="0.25">
      <c r="A14" s="12"/>
      <c r="B14" s="12"/>
      <c r="C14" s="12"/>
      <c r="D14" s="12"/>
      <c r="E14" s="12"/>
      <c r="F14" s="12"/>
      <c r="G14" s="12"/>
      <c r="H14" s="12"/>
    </row>
    <row r="15" spans="1:8" x14ac:dyDescent="0.25">
      <c r="A15" s="22" t="s">
        <v>6</v>
      </c>
      <c r="B15" s="12"/>
      <c r="C15" s="12"/>
      <c r="D15" s="12"/>
      <c r="E15" s="12"/>
      <c r="F15" s="12"/>
      <c r="G15" s="12"/>
      <c r="H15" s="12"/>
    </row>
    <row r="16" spans="1:8" x14ac:dyDescent="0.25">
      <c r="A16" s="23" t="s">
        <v>41</v>
      </c>
      <c r="B16" s="10">
        <f>SUM(C16:H16)</f>
        <v>23619472551.999996</v>
      </c>
      <c r="C16" s="10">
        <v>13097865405.610846</v>
      </c>
      <c r="D16" s="10">
        <v>5238082780.2891531</v>
      </c>
      <c r="E16" s="10">
        <v>1663164932.3</v>
      </c>
      <c r="F16" s="10">
        <v>2794009433.8000002</v>
      </c>
      <c r="G16" s="10">
        <v>826350000</v>
      </c>
      <c r="H16" s="12"/>
    </row>
    <row r="17" spans="1:8" x14ac:dyDescent="0.25">
      <c r="A17" s="23" t="s">
        <v>94</v>
      </c>
      <c r="B17" s="10">
        <f>SUM(D17:H17)</f>
        <v>1994914722</v>
      </c>
      <c r="C17" s="10">
        <f>C11*70125*3</f>
        <v>19374275250</v>
      </c>
      <c r="D17" s="10"/>
      <c r="E17" s="10">
        <f>E11*213886*3</f>
        <v>1994914722</v>
      </c>
      <c r="F17" s="10"/>
      <c r="G17" s="9"/>
      <c r="H17" s="12"/>
    </row>
    <row r="18" spans="1:8" x14ac:dyDescent="0.25">
      <c r="A18" s="23" t="s">
        <v>95</v>
      </c>
      <c r="B18" s="10">
        <f>SUM(D18:H18)</f>
        <v>11065535452.727926</v>
      </c>
      <c r="C18" s="10">
        <v>13526026363.402075</v>
      </c>
      <c r="D18" s="10">
        <v>5374388150.1279259</v>
      </c>
      <c r="E18" s="10">
        <v>1928106208.3499999</v>
      </c>
      <c r="F18" s="10">
        <v>2904791094.23</v>
      </c>
      <c r="G18" s="9">
        <v>858250000.01999998</v>
      </c>
      <c r="H18" s="12"/>
    </row>
    <row r="19" spans="1:8" x14ac:dyDescent="0.25">
      <c r="A19" s="23" t="s">
        <v>79</v>
      </c>
      <c r="B19" s="10">
        <f>SUM(D19:H19)</f>
        <v>7979658888</v>
      </c>
      <c r="C19" s="10">
        <f>C13*70125*12</f>
        <v>77497101000</v>
      </c>
      <c r="D19" s="10"/>
      <c r="E19" s="10">
        <f>E13*213886*12</f>
        <v>7979658888</v>
      </c>
      <c r="F19" s="10"/>
      <c r="G19" s="9"/>
      <c r="H19" s="12"/>
    </row>
    <row r="20" spans="1:8" x14ac:dyDescent="0.25">
      <c r="A20" s="23" t="s">
        <v>96</v>
      </c>
      <c r="B20" s="10">
        <f>SUM(D20:G20)</f>
        <v>11065535452.727926</v>
      </c>
      <c r="C20" s="10">
        <f>+C18</f>
        <v>13526026363.402075</v>
      </c>
      <c r="D20" s="10">
        <f t="shared" ref="D20:G20" si="1">+D18</f>
        <v>5374388150.1279259</v>
      </c>
      <c r="E20" s="10">
        <f t="shared" si="1"/>
        <v>1928106208.3499999</v>
      </c>
      <c r="F20" s="10">
        <f t="shared" si="1"/>
        <v>2904791094.23</v>
      </c>
      <c r="G20" s="10">
        <f t="shared" si="1"/>
        <v>858250000.01999998</v>
      </c>
      <c r="H20" s="12"/>
    </row>
    <row r="21" spans="1:8" x14ac:dyDescent="0.25">
      <c r="A21" s="12"/>
      <c r="B21" s="10"/>
      <c r="C21" s="10"/>
      <c r="D21" s="10"/>
      <c r="E21" s="10"/>
      <c r="F21" s="10"/>
      <c r="G21" s="12"/>
      <c r="H21" s="12"/>
    </row>
    <row r="22" spans="1:8" x14ac:dyDescent="0.25">
      <c r="A22" s="22" t="s">
        <v>7</v>
      </c>
      <c r="B22" s="10"/>
      <c r="C22" s="10"/>
      <c r="D22" s="10"/>
      <c r="E22" s="10"/>
      <c r="F22" s="10"/>
      <c r="G22" s="10"/>
      <c r="H22" s="12"/>
    </row>
    <row r="23" spans="1:8" x14ac:dyDescent="0.25">
      <c r="A23" s="23" t="s">
        <v>94</v>
      </c>
      <c r="B23" s="10">
        <f>B17</f>
        <v>1994914722</v>
      </c>
      <c r="C23" s="10"/>
      <c r="D23" s="10"/>
      <c r="E23" s="10"/>
      <c r="F23" s="10"/>
      <c r="G23" s="10"/>
      <c r="H23" s="12"/>
    </row>
    <row r="24" spans="1:8" x14ac:dyDescent="0.25">
      <c r="A24" s="23" t="s">
        <v>95</v>
      </c>
      <c r="B24" s="10">
        <v>21565511816.110001</v>
      </c>
      <c r="C24" s="10"/>
      <c r="D24" s="10"/>
      <c r="E24" s="10"/>
      <c r="F24" s="10"/>
      <c r="G24" s="10"/>
      <c r="H24" s="12"/>
    </row>
    <row r="25" spans="1:8" x14ac:dyDescent="0.25">
      <c r="A25" s="12"/>
      <c r="B25" s="12"/>
      <c r="C25" s="12"/>
      <c r="D25" s="12"/>
      <c r="E25" s="12"/>
      <c r="F25" s="12"/>
      <c r="G25" s="12"/>
      <c r="H25" s="12"/>
    </row>
    <row r="26" spans="1:8" x14ac:dyDescent="0.25">
      <c r="A26" s="12" t="s">
        <v>8</v>
      </c>
      <c r="B26" s="12"/>
      <c r="C26" s="12"/>
      <c r="D26" s="12"/>
      <c r="E26" s="12"/>
      <c r="F26" s="12"/>
      <c r="G26" s="12"/>
      <c r="H26" s="12"/>
    </row>
    <row r="27" spans="1:8" x14ac:dyDescent="0.25">
      <c r="A27" s="23" t="s">
        <v>42</v>
      </c>
      <c r="B27" s="24">
        <v>1.4773597119666666</v>
      </c>
      <c r="C27" s="24">
        <v>1.4773597119666666</v>
      </c>
      <c r="D27" s="24">
        <v>1.4773597119666666</v>
      </c>
      <c r="E27" s="24">
        <v>1.4773597119666666</v>
      </c>
      <c r="F27" s="24">
        <v>1.4773597119666666</v>
      </c>
      <c r="G27" s="24">
        <v>1.4773597119666666</v>
      </c>
      <c r="H27" s="12"/>
    </row>
    <row r="28" spans="1:8" x14ac:dyDescent="0.25">
      <c r="A28" s="23" t="s">
        <v>97</v>
      </c>
      <c r="B28" s="24">
        <v>1.5396358920333333</v>
      </c>
      <c r="C28" s="24">
        <v>1.5396358920333333</v>
      </c>
      <c r="D28" s="24">
        <v>1.5396358920333333</v>
      </c>
      <c r="E28" s="24">
        <v>1.5396358920333333</v>
      </c>
      <c r="F28" s="24">
        <v>1.5396358920333333</v>
      </c>
      <c r="G28" s="24">
        <v>1.5396358920333333</v>
      </c>
      <c r="H28" s="12"/>
    </row>
    <row r="29" spans="1:8" x14ac:dyDescent="0.25">
      <c r="A29" s="23" t="s">
        <v>10</v>
      </c>
      <c r="B29" s="11">
        <f>SUM(D29:E29)</f>
        <v>6248</v>
      </c>
      <c r="C29" s="11">
        <v>78777</v>
      </c>
      <c r="D29" s="11" t="s">
        <v>124</v>
      </c>
      <c r="E29" s="11">
        <v>6248</v>
      </c>
      <c r="F29" s="11"/>
      <c r="G29" s="11"/>
      <c r="H29" s="12"/>
    </row>
    <row r="30" spans="1:8" x14ac:dyDescent="0.25">
      <c r="A30" s="12"/>
      <c r="B30" s="12"/>
      <c r="C30" s="12"/>
      <c r="D30" s="12"/>
      <c r="E30" s="12"/>
      <c r="F30" s="12"/>
      <c r="G30" s="12"/>
      <c r="H30" s="12"/>
    </row>
    <row r="31" spans="1:8" x14ac:dyDescent="0.25">
      <c r="A31" s="25" t="s">
        <v>11</v>
      </c>
      <c r="B31" s="12"/>
      <c r="C31" s="12"/>
      <c r="D31" s="12"/>
      <c r="E31" s="12"/>
      <c r="F31" s="12"/>
      <c r="G31" s="12"/>
      <c r="H31" s="12"/>
    </row>
    <row r="32" spans="1:8" x14ac:dyDescent="0.25">
      <c r="A32" s="12" t="s">
        <v>43</v>
      </c>
      <c r="B32" s="10">
        <f t="shared" ref="B32:G32" si="2">B16/B27</f>
        <v>15987624652.737869</v>
      </c>
      <c r="C32" s="10">
        <f t="shared" si="2"/>
        <v>8865725320.3249454</v>
      </c>
      <c r="D32" s="10">
        <f t="shared" si="2"/>
        <v>3545570342.7272959</v>
      </c>
      <c r="E32" s="10">
        <f t="shared" si="2"/>
        <v>1125768435.9660714</v>
      </c>
      <c r="F32" s="10">
        <f t="shared" si="2"/>
        <v>1891218104.2764492</v>
      </c>
      <c r="G32" s="10">
        <f t="shared" si="2"/>
        <v>559342449.44310808</v>
      </c>
      <c r="H32" s="12"/>
    </row>
    <row r="33" spans="1:8" x14ac:dyDescent="0.25">
      <c r="A33" s="12" t="s">
        <v>98</v>
      </c>
      <c r="B33" s="10">
        <f t="shared" ref="B33:G33" si="3">B18/B28</f>
        <v>7187111907.4225607</v>
      </c>
      <c r="C33" s="10">
        <f t="shared" si="3"/>
        <v>8785211122.5718517</v>
      </c>
      <c r="D33" s="10">
        <f t="shared" si="3"/>
        <v>3490687751.5242867</v>
      </c>
      <c r="E33" s="10">
        <f t="shared" si="3"/>
        <v>1252313107.4864914</v>
      </c>
      <c r="F33" s="10">
        <f t="shared" si="3"/>
        <v>1886674056.6782727</v>
      </c>
      <c r="G33" s="10">
        <f t="shared" si="3"/>
        <v>557436991.73350966</v>
      </c>
      <c r="H33" s="12"/>
    </row>
    <row r="34" spans="1:8" x14ac:dyDescent="0.25">
      <c r="A34" s="12" t="s">
        <v>44</v>
      </c>
      <c r="B34" s="10">
        <f>B32/B10</f>
        <v>174164.72017013672</v>
      </c>
      <c r="C34" s="10">
        <f>C32/C10</f>
        <v>139360.21608877473</v>
      </c>
      <c r="D34" s="10">
        <f>D32/D10</f>
        <v>139357.12170243674</v>
      </c>
      <c r="E34" s="10">
        <f>E32/E10</f>
        <v>411414.94797152077</v>
      </c>
      <c r="F34" s="10"/>
      <c r="G34" s="10"/>
      <c r="H34" s="12"/>
    </row>
    <row r="35" spans="1:8" x14ac:dyDescent="0.25">
      <c r="A35" s="12" t="s">
        <v>99</v>
      </c>
      <c r="B35" s="10">
        <f>B33/B12</f>
        <v>75839.549923207305</v>
      </c>
      <c r="C35" s="10">
        <f>C33/C12</f>
        <v>133746.92152340227</v>
      </c>
      <c r="D35" s="10">
        <f>D33/D12</f>
        <v>133722.33188493285</v>
      </c>
      <c r="E35" s="10">
        <f>E33/E12</f>
        <v>420521.52702702867</v>
      </c>
      <c r="F35" s="10"/>
      <c r="G35" s="10"/>
      <c r="H35" s="12"/>
    </row>
    <row r="36" spans="1:8" x14ac:dyDescent="0.25">
      <c r="A36" s="12"/>
      <c r="B36" s="12"/>
      <c r="C36" s="12"/>
      <c r="D36" s="12"/>
      <c r="E36" s="12"/>
      <c r="F36" s="12"/>
      <c r="G36" s="12"/>
      <c r="H36" s="12"/>
    </row>
    <row r="37" spans="1:8" x14ac:dyDescent="0.25">
      <c r="A37" s="25" t="s">
        <v>14</v>
      </c>
      <c r="B37" s="12"/>
      <c r="C37" s="12"/>
      <c r="D37" s="12"/>
      <c r="E37" s="12"/>
      <c r="F37" s="12"/>
      <c r="G37" s="12"/>
      <c r="H37" s="12"/>
    </row>
    <row r="38" spans="1:8" x14ac:dyDescent="0.25">
      <c r="A38" s="12"/>
      <c r="B38" s="12"/>
      <c r="C38" s="12"/>
      <c r="D38" s="12"/>
      <c r="E38" s="12"/>
      <c r="F38" s="12"/>
      <c r="G38" s="12"/>
      <c r="H38" s="12"/>
    </row>
    <row r="39" spans="1:8" x14ac:dyDescent="0.25">
      <c r="A39" s="12" t="s">
        <v>15</v>
      </c>
      <c r="B39" s="12"/>
      <c r="C39" s="12"/>
      <c r="D39" s="12"/>
      <c r="E39" s="12"/>
      <c r="F39" s="12"/>
      <c r="G39" s="12"/>
      <c r="H39" s="12"/>
    </row>
    <row r="40" spans="1:8" x14ac:dyDescent="0.25">
      <c r="A40" s="12" t="s">
        <v>16</v>
      </c>
      <c r="B40" s="7">
        <f>((C40*C17+E40*E17)/(C17+E17))</f>
        <v>110.63640037611137</v>
      </c>
      <c r="C40" s="7">
        <f t="shared" ref="C40" si="4">(C11)/C29*100</f>
        <v>116.90468030008758</v>
      </c>
      <c r="D40" s="7" t="e">
        <f t="shared" ref="D40:F40" si="5">(D11)/D29*100</f>
        <v>#VALUE!</v>
      </c>
      <c r="E40" s="7">
        <f t="shared" si="5"/>
        <v>49.759923175416134</v>
      </c>
      <c r="F40" s="7" t="e">
        <f t="shared" si="5"/>
        <v>#DIV/0!</v>
      </c>
      <c r="G40" s="12"/>
      <c r="H40" s="12"/>
    </row>
    <row r="41" spans="1:8" x14ac:dyDescent="0.25">
      <c r="A41" s="12" t="s">
        <v>17</v>
      </c>
      <c r="B41" s="7">
        <f>((C41*C18+E41*E18)/(C18+E18))</f>
        <v>78.925055779433634</v>
      </c>
      <c r="C41" s="7">
        <f t="shared" ref="C41" si="6">(C12)/C29*100</f>
        <v>83.381359195365818</v>
      </c>
      <c r="D41" s="7" t="e">
        <f t="shared" ref="D41:F41" si="7">(D12)/D29*100</f>
        <v>#VALUE!</v>
      </c>
      <c r="E41" s="7">
        <f t="shared" si="7"/>
        <v>47.663252240717028</v>
      </c>
      <c r="F41" s="7" t="e">
        <f t="shared" si="7"/>
        <v>#DIV/0!</v>
      </c>
      <c r="G41" s="12"/>
      <c r="H41" s="12"/>
    </row>
    <row r="42" spans="1:8" x14ac:dyDescent="0.25">
      <c r="A42" s="12"/>
      <c r="B42" s="12"/>
      <c r="C42" s="12"/>
      <c r="D42" s="12"/>
      <c r="E42" s="12"/>
      <c r="F42" s="12"/>
      <c r="G42" s="12"/>
      <c r="H42" s="12"/>
    </row>
    <row r="43" spans="1:8" x14ac:dyDescent="0.25">
      <c r="A43" s="12" t="s">
        <v>18</v>
      </c>
      <c r="B43" s="12"/>
      <c r="C43" s="12"/>
      <c r="D43" s="12"/>
      <c r="E43" s="12"/>
      <c r="F43" s="12"/>
      <c r="G43" s="12"/>
      <c r="H43" s="12"/>
    </row>
    <row r="44" spans="1:8" x14ac:dyDescent="0.25">
      <c r="A44" s="12" t="s">
        <v>19</v>
      </c>
      <c r="B44" s="7">
        <f>B12/B11*100</f>
        <v>99.54238136753392</v>
      </c>
      <c r="C44" s="7">
        <f>(C12+D12)/C11*100</f>
        <v>99.669178592886979</v>
      </c>
      <c r="D44" s="7" t="e">
        <f>D12/D11*100</f>
        <v>#DIV/0!</v>
      </c>
      <c r="E44" s="7">
        <f>E12/E11*100</f>
        <v>95.786426503698934</v>
      </c>
      <c r="F44" s="7"/>
      <c r="G44" s="12"/>
      <c r="H44" s="12"/>
    </row>
    <row r="45" spans="1:8" x14ac:dyDescent="0.25">
      <c r="A45" s="12" t="s">
        <v>20</v>
      </c>
      <c r="B45" s="7">
        <f>B18/B17*100</f>
        <v>554.68714179592519</v>
      </c>
      <c r="C45" s="7">
        <f>(C18+D18)/C17*100</f>
        <v>97.554175676997261</v>
      </c>
      <c r="D45" s="7" t="e">
        <f>D18/D17*100</f>
        <v>#DIV/0!</v>
      </c>
      <c r="E45" s="7">
        <f>E18/E17*100</f>
        <v>96.651059169936786</v>
      </c>
      <c r="F45" s="7" t="e">
        <f>F18/F17*100</f>
        <v>#DIV/0!</v>
      </c>
      <c r="G45" s="7" t="e">
        <f>G18/G17*100</f>
        <v>#DIV/0!</v>
      </c>
      <c r="H45" s="12"/>
    </row>
    <row r="46" spans="1:8" x14ac:dyDescent="0.25">
      <c r="A46" s="12" t="s">
        <v>21</v>
      </c>
      <c r="B46" s="7">
        <f>AVERAGE(B44:B45)</f>
        <v>327.11476158172957</v>
      </c>
      <c r="C46" s="7">
        <f t="shared" ref="C46" si="8">AVERAGE(C44:C45)</f>
        <v>98.611677134942113</v>
      </c>
      <c r="D46" s="7" t="e">
        <f t="shared" ref="D46:E46" si="9">AVERAGE(D44:D45)</f>
        <v>#DIV/0!</v>
      </c>
      <c r="E46" s="7">
        <f t="shared" si="9"/>
        <v>96.218742836817853</v>
      </c>
      <c r="F46" s="7"/>
      <c r="G46" s="7"/>
      <c r="H46" s="12"/>
    </row>
    <row r="47" spans="1:8" x14ac:dyDescent="0.25">
      <c r="A47" s="12"/>
      <c r="B47" s="7"/>
      <c r="C47" s="7"/>
      <c r="D47" s="7"/>
      <c r="E47" s="7"/>
      <c r="F47" s="7"/>
      <c r="G47" s="7"/>
      <c r="H47" s="12"/>
    </row>
    <row r="48" spans="1:8" x14ac:dyDescent="0.25">
      <c r="A48" s="12" t="s">
        <v>22</v>
      </c>
      <c r="B48" s="12"/>
      <c r="C48" s="12"/>
      <c r="D48" s="12"/>
      <c r="E48" s="12"/>
      <c r="F48" s="12"/>
      <c r="G48" s="12"/>
      <c r="H48" s="12"/>
    </row>
    <row r="49" spans="1:8" x14ac:dyDescent="0.25">
      <c r="A49" s="12" t="s">
        <v>23</v>
      </c>
      <c r="B49" s="7">
        <f>B12/(B13*4)*100</f>
        <v>24.88559534188348</v>
      </c>
      <c r="C49" s="7">
        <f>(C12+D12)/(C13*4)*100</f>
        <v>24.917294648221745</v>
      </c>
      <c r="D49" s="7" t="e">
        <f>D12/(D13*4)*100</f>
        <v>#DIV/0!</v>
      </c>
      <c r="E49" s="7">
        <f t="shared" ref="E49" si="10">E12/(E13*4)*100</f>
        <v>23.946606625924733</v>
      </c>
      <c r="F49" s="7"/>
      <c r="G49" s="7"/>
      <c r="H49" s="12"/>
    </row>
    <row r="50" spans="1:8" x14ac:dyDescent="0.25">
      <c r="A50" s="12" t="s">
        <v>24</v>
      </c>
      <c r="B50" s="7">
        <f>B18/B19*100</f>
        <v>138.6717854489813</v>
      </c>
      <c r="C50" s="7">
        <f>(C18+D18)/C19*100</f>
        <v>24.388543919249315</v>
      </c>
      <c r="D50" s="7" t="e">
        <f>D18/D19*100</f>
        <v>#DIV/0!</v>
      </c>
      <c r="E50" s="7">
        <f>E18/E19*100</f>
        <v>24.162764792484197</v>
      </c>
      <c r="F50" s="7" t="e">
        <f>F18/F19*100</f>
        <v>#DIV/0!</v>
      </c>
      <c r="G50" s="7" t="e">
        <f>G18/G19*100</f>
        <v>#DIV/0!</v>
      </c>
      <c r="H50" s="12"/>
    </row>
    <row r="51" spans="1:8" x14ac:dyDescent="0.25">
      <c r="A51" s="12" t="s">
        <v>25</v>
      </c>
      <c r="B51" s="7">
        <f>(B49+B50)/2</f>
        <v>81.778690395432392</v>
      </c>
      <c r="C51" s="7">
        <f t="shared" ref="C51" si="11">(C49+C50)/2</f>
        <v>24.652919283735528</v>
      </c>
      <c r="D51" s="7" t="e">
        <f t="shared" ref="D51:E51" si="12">(D49+D50)/2</f>
        <v>#DIV/0!</v>
      </c>
      <c r="E51" s="7">
        <f t="shared" si="12"/>
        <v>24.054685709204463</v>
      </c>
      <c r="F51" s="7"/>
      <c r="G51" s="7"/>
      <c r="H51" s="12"/>
    </row>
    <row r="52" spans="1:8" x14ac:dyDescent="0.25">
      <c r="A52" s="12"/>
      <c r="B52" s="12"/>
      <c r="C52" s="12"/>
      <c r="D52" s="12"/>
      <c r="E52" s="12"/>
      <c r="F52" s="12"/>
      <c r="G52" s="12"/>
      <c r="H52" s="12"/>
    </row>
    <row r="53" spans="1:8" x14ac:dyDescent="0.25">
      <c r="A53" s="12" t="s">
        <v>57</v>
      </c>
      <c r="B53" s="12"/>
      <c r="C53" s="12"/>
      <c r="D53" s="12"/>
      <c r="E53" s="12"/>
      <c r="F53" s="12"/>
      <c r="G53" s="12"/>
      <c r="H53" s="12"/>
    </row>
    <row r="54" spans="1:8" x14ac:dyDescent="0.25">
      <c r="A54" s="12" t="s">
        <v>26</v>
      </c>
      <c r="B54" s="7">
        <f>(B20/B18)*100</f>
        <v>100</v>
      </c>
      <c r="C54" s="7">
        <f t="shared" ref="C54" si="13">(C20/C18)*100</f>
        <v>100</v>
      </c>
      <c r="D54" s="7">
        <f t="shared" ref="D54:F54" si="14">(D20/D18)*100</f>
        <v>100</v>
      </c>
      <c r="E54" s="7">
        <f t="shared" si="14"/>
        <v>100</v>
      </c>
      <c r="F54" s="7">
        <f t="shared" si="14"/>
        <v>100</v>
      </c>
      <c r="G54" s="7"/>
      <c r="H54" s="12"/>
    </row>
    <row r="55" spans="1:8" x14ac:dyDescent="0.25">
      <c r="A55" s="12"/>
      <c r="B55" s="12"/>
      <c r="C55" s="12"/>
      <c r="D55" s="12"/>
      <c r="E55" s="12"/>
      <c r="F55" s="12"/>
      <c r="G55" s="12"/>
      <c r="H55" s="12"/>
    </row>
    <row r="56" spans="1:8" x14ac:dyDescent="0.25">
      <c r="A56" s="12" t="s">
        <v>27</v>
      </c>
      <c r="B56" s="12"/>
      <c r="C56" s="12"/>
      <c r="D56" s="12"/>
      <c r="E56" s="12"/>
      <c r="F56" s="12"/>
      <c r="G56" s="12"/>
      <c r="H56" s="12"/>
    </row>
    <row r="57" spans="1:8" x14ac:dyDescent="0.25">
      <c r="A57" s="12" t="s">
        <v>28</v>
      </c>
      <c r="B57" s="7">
        <f>((B12/B10)-1)*100</f>
        <v>3.2368875913256989</v>
      </c>
      <c r="C57" s="7">
        <f>(((C12+D12)/C10)-1)*100</f>
        <v>44.283528598075982</v>
      </c>
      <c r="D57" s="7">
        <f>((D12/D10)-1)*100</f>
        <v>2.6006524558806143</v>
      </c>
      <c r="E57" s="7">
        <f>((E12/E10)-1)*100</f>
        <v>8.8317700085272186</v>
      </c>
      <c r="F57" s="7"/>
      <c r="G57" s="7"/>
      <c r="H57" s="12"/>
    </row>
    <row r="58" spans="1:8" x14ac:dyDescent="0.25">
      <c r="A58" s="12" t="s">
        <v>29</v>
      </c>
      <c r="B58" s="7">
        <f>((B33/B32)-1)*100</f>
        <v>-55.04578032364693</v>
      </c>
      <c r="C58" s="7">
        <f>(((C33+D33)/C32)-1)*100</f>
        <v>38.46468766580513</v>
      </c>
      <c r="D58" s="7">
        <f t="shared" ref="D58:G58" si="15">((D33/D32)-1)*100</f>
        <v>-1.5479199648537389</v>
      </c>
      <c r="E58" s="7">
        <f t="shared" si="15"/>
        <v>11.240737213583941</v>
      </c>
      <c r="F58" s="7">
        <f t="shared" si="15"/>
        <v>-0.24027094431369189</v>
      </c>
      <c r="G58" s="7">
        <f t="shared" si="15"/>
        <v>-0.34066030774090317</v>
      </c>
      <c r="H58" s="12"/>
    </row>
    <row r="59" spans="1:8" x14ac:dyDescent="0.25">
      <c r="A59" s="12" t="s">
        <v>30</v>
      </c>
      <c r="B59" s="7">
        <f>((B35/B34)-1)*100</f>
        <v>-56.455274151319657</v>
      </c>
      <c r="C59" s="7">
        <f>(((C35+D35)/C34)-1)*100</f>
        <v>91.926548992972897</v>
      </c>
      <c r="D59" s="7">
        <f t="shared" ref="D59:E59" si="16">((D35/D34)-1)*100</f>
        <v>-4.0434171922233091</v>
      </c>
      <c r="E59" s="7">
        <f t="shared" si="16"/>
        <v>2.2134779254880943</v>
      </c>
      <c r="F59" s="7"/>
      <c r="G59" s="7"/>
      <c r="H59" s="12"/>
    </row>
    <row r="60" spans="1:8" x14ac:dyDescent="0.25">
      <c r="A60" s="12"/>
      <c r="B60" s="7"/>
      <c r="C60" s="7"/>
      <c r="D60" s="7"/>
      <c r="E60" s="7"/>
      <c r="F60" s="7"/>
      <c r="G60" s="7"/>
      <c r="H60" s="12"/>
    </row>
    <row r="61" spans="1:8" x14ac:dyDescent="0.25">
      <c r="A61" s="12" t="s">
        <v>31</v>
      </c>
      <c r="B61" s="12"/>
      <c r="C61" s="12"/>
      <c r="D61" s="12"/>
      <c r="E61" s="12"/>
      <c r="F61" s="12"/>
      <c r="G61" s="12"/>
      <c r="H61" s="12"/>
    </row>
    <row r="62" spans="1:8" x14ac:dyDescent="0.25">
      <c r="A62" s="12" t="s">
        <v>58</v>
      </c>
      <c r="B62" s="10">
        <f>B17/(B11*3)</f>
        <v>6984.7754167410694</v>
      </c>
      <c r="C62" s="10">
        <f t="shared" ref="C62" si="17">C17/(C11*3)</f>
        <v>70125</v>
      </c>
      <c r="D62" s="10" t="e">
        <f t="shared" ref="D62:E63" si="18">D17/(D11*3)</f>
        <v>#DIV/0!</v>
      </c>
      <c r="E62" s="10">
        <f t="shared" si="18"/>
        <v>213886</v>
      </c>
      <c r="F62" s="10"/>
      <c r="G62" s="10"/>
      <c r="H62" s="12"/>
    </row>
    <row r="63" spans="1:8" x14ac:dyDescent="0.25">
      <c r="A63" s="12" t="s">
        <v>59</v>
      </c>
      <c r="B63" s="10">
        <f>B18/(B12*3)</f>
        <v>38921.764365807932</v>
      </c>
      <c r="C63" s="10">
        <f>(C18+D18)/(C12*3)</f>
        <v>95913.925551772074</v>
      </c>
      <c r="D63" s="10">
        <f>D18/(D12*3)</f>
        <v>68627.900578812012</v>
      </c>
      <c r="E63" s="10">
        <f t="shared" si="18"/>
        <v>215816.67879449294</v>
      </c>
      <c r="F63" s="10"/>
      <c r="G63" s="10"/>
      <c r="H63" s="12"/>
    </row>
    <row r="64" spans="1:8" x14ac:dyDescent="0.25">
      <c r="A64" s="12" t="s">
        <v>32</v>
      </c>
      <c r="B64" s="7">
        <f>(B62/B63)*B46</f>
        <v>58.702969466521836</v>
      </c>
      <c r="C64" s="7">
        <f t="shared" ref="C64" si="19">(C62/C63)*C46</f>
        <v>72.097391690585994</v>
      </c>
      <c r="D64" s="7" t="e">
        <f t="shared" ref="D64:E64" si="20">(D62/D63)*D46</f>
        <v>#DIV/0!</v>
      </c>
      <c r="E64" s="7">
        <f t="shared" si="20"/>
        <v>95.357977638013608</v>
      </c>
      <c r="F64" s="7"/>
      <c r="G64" s="7"/>
      <c r="H64" s="12"/>
    </row>
    <row r="65" spans="1:8" x14ac:dyDescent="0.25">
      <c r="A65" s="7" t="s">
        <v>60</v>
      </c>
      <c r="B65" s="10">
        <f>B17/B11</f>
        <v>20954.326250223206</v>
      </c>
      <c r="C65" s="10">
        <f t="shared" ref="C65" si="21">C17/C11</f>
        <v>210375</v>
      </c>
      <c r="D65" s="10" t="e">
        <f t="shared" ref="D65:E66" si="22">D17/D11</f>
        <v>#DIV/0!</v>
      </c>
      <c r="E65" s="10">
        <f t="shared" si="22"/>
        <v>641658</v>
      </c>
      <c r="F65" s="7"/>
      <c r="G65" s="7"/>
      <c r="H65" s="12"/>
    </row>
    <row r="66" spans="1:8" x14ac:dyDescent="0.25">
      <c r="A66" s="7" t="s">
        <v>61</v>
      </c>
      <c r="B66" s="10">
        <f>B18/B12</f>
        <v>116765.2930974238</v>
      </c>
      <c r="C66" s="10">
        <f>(C18+D18)/C12</f>
        <v>287741.77665531624</v>
      </c>
      <c r="D66" s="10">
        <f t="shared" si="22"/>
        <v>205883.70173643602</v>
      </c>
      <c r="E66" s="10">
        <f t="shared" si="22"/>
        <v>647450.03638347879</v>
      </c>
      <c r="F66" s="7"/>
      <c r="G66" s="7"/>
      <c r="H66" s="12"/>
    </row>
    <row r="67" spans="1:8" x14ac:dyDescent="0.25">
      <c r="A67" s="12"/>
      <c r="B67" s="7"/>
      <c r="C67" s="7"/>
      <c r="D67" s="7"/>
      <c r="E67" s="7"/>
      <c r="F67" s="7"/>
      <c r="G67" s="7"/>
      <c r="H67" s="12"/>
    </row>
    <row r="68" spans="1:8" x14ac:dyDescent="0.25">
      <c r="A68" s="12" t="s">
        <v>33</v>
      </c>
      <c r="B68" s="7"/>
      <c r="C68" s="7"/>
      <c r="D68" s="7"/>
      <c r="E68" s="7"/>
      <c r="F68" s="7"/>
      <c r="G68" s="7"/>
      <c r="H68" s="12"/>
    </row>
    <row r="69" spans="1:8" x14ac:dyDescent="0.25">
      <c r="A69" s="12" t="s">
        <v>34</v>
      </c>
      <c r="B69" s="7">
        <f>(B24/B23)*100</f>
        <v>1081.0242452113198</v>
      </c>
      <c r="C69" s="7"/>
      <c r="D69" s="7"/>
      <c r="E69" s="7"/>
      <c r="F69" s="7"/>
      <c r="G69" s="7"/>
      <c r="H69" s="12"/>
    </row>
    <row r="70" spans="1:8" x14ac:dyDescent="0.25">
      <c r="A70" s="12" t="s">
        <v>35</v>
      </c>
      <c r="B70" s="7">
        <f>(B18/B24)*100</f>
        <v>51.311258212112932</v>
      </c>
      <c r="C70" s="7"/>
      <c r="D70" s="7"/>
      <c r="E70" s="7"/>
      <c r="F70" s="7"/>
      <c r="G70" s="7"/>
      <c r="H70" s="12"/>
    </row>
    <row r="71" spans="1:8" ht="15.75" thickBot="1" x14ac:dyDescent="0.3">
      <c r="A71" s="26"/>
      <c r="B71" s="26"/>
      <c r="C71" s="26"/>
      <c r="D71" s="26"/>
      <c r="E71" s="26"/>
      <c r="F71" s="26"/>
      <c r="G71" s="26"/>
      <c r="H71" s="12"/>
    </row>
    <row r="72" spans="1:8" ht="15.75" thickTop="1" x14ac:dyDescent="0.25">
      <c r="A72" s="12"/>
      <c r="B72" s="12"/>
      <c r="C72" s="12"/>
      <c r="D72" s="12"/>
      <c r="E72" s="12"/>
      <c r="F72" s="12"/>
      <c r="G72" s="12"/>
      <c r="H72" s="12"/>
    </row>
    <row r="73" spans="1:8" x14ac:dyDescent="0.25">
      <c r="A73" s="12" t="s">
        <v>40</v>
      </c>
      <c r="B73" s="12"/>
      <c r="C73" s="12"/>
      <c r="D73" s="12"/>
      <c r="E73" s="12"/>
      <c r="F73" s="12"/>
      <c r="G73" s="12"/>
      <c r="H73" s="12"/>
    </row>
    <row r="74" spans="1:8" x14ac:dyDescent="0.25">
      <c r="A74" s="12" t="s">
        <v>121</v>
      </c>
      <c r="B74" s="12"/>
      <c r="C74" s="12"/>
      <c r="D74" s="12"/>
      <c r="E74" s="12"/>
      <c r="F74" s="12"/>
      <c r="G74" s="12"/>
      <c r="H74" s="12"/>
    </row>
    <row r="75" spans="1:8" x14ac:dyDescent="0.25">
      <c r="A75" s="12" t="s">
        <v>84</v>
      </c>
      <c r="B75" s="27"/>
      <c r="C75" s="27"/>
      <c r="D75" s="27"/>
      <c r="E75" s="27"/>
      <c r="F75" s="12"/>
      <c r="G75" s="12"/>
      <c r="H75" s="12"/>
    </row>
    <row r="76" spans="1:8" x14ac:dyDescent="0.25">
      <c r="A76" s="12" t="s">
        <v>85</v>
      </c>
      <c r="B76" s="12"/>
      <c r="C76" s="12"/>
      <c r="D76" s="12"/>
      <c r="E76" s="12"/>
      <c r="F76" s="12"/>
      <c r="G76" s="12"/>
      <c r="H76" s="12"/>
    </row>
    <row r="77" spans="1:8" x14ac:dyDescent="0.25">
      <c r="A77" s="12"/>
      <c r="B77" s="12"/>
      <c r="C77" s="12"/>
      <c r="D77" s="12"/>
      <c r="E77" s="12"/>
      <c r="F77" s="12"/>
      <c r="G77" s="12"/>
      <c r="H77" s="12"/>
    </row>
    <row r="78" spans="1:8" x14ac:dyDescent="0.25">
      <c r="A78" s="1" t="s">
        <v>73</v>
      </c>
    </row>
    <row r="79" spans="1:8" x14ac:dyDescent="0.25">
      <c r="A79" s="1" t="s">
        <v>75</v>
      </c>
    </row>
    <row r="80" spans="1:8" x14ac:dyDescent="0.25">
      <c r="A80" s="1" t="s">
        <v>74</v>
      </c>
    </row>
  </sheetData>
  <mergeCells count="7">
    <mergeCell ref="A2:G2"/>
    <mergeCell ref="A4:A5"/>
    <mergeCell ref="B4:B5"/>
    <mergeCell ref="F4:F5"/>
    <mergeCell ref="G4:G5"/>
    <mergeCell ref="C4:E4"/>
    <mergeCell ref="C5:D5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2"/>
  <sheetViews>
    <sheetView topLeftCell="A68" workbookViewId="0">
      <selection activeCell="B76" sqref="B76"/>
    </sheetView>
  </sheetViews>
  <sheetFormatPr baseColWidth="10" defaultRowHeight="15" x14ac:dyDescent="0.25"/>
  <cols>
    <col min="1" max="1" width="55.140625" style="1" customWidth="1"/>
    <col min="2" max="3" width="16.140625" style="1" customWidth="1"/>
    <col min="4" max="4" width="17" style="1" bestFit="1" customWidth="1"/>
    <col min="5" max="5" width="16.42578125" style="1" bestFit="1" customWidth="1"/>
    <col min="6" max="6" width="14.7109375" style="1" bestFit="1" customWidth="1"/>
    <col min="7" max="7" width="17.5703125" style="1" bestFit="1" customWidth="1"/>
    <col min="8" max="16384" width="11.42578125" style="1"/>
  </cols>
  <sheetData>
    <row r="1" spans="1:8" x14ac:dyDescent="0.25">
      <c r="A1" s="12"/>
      <c r="B1" s="12"/>
      <c r="C1" s="12"/>
      <c r="D1" s="12"/>
      <c r="E1" s="12"/>
      <c r="F1" s="12"/>
      <c r="G1" s="12"/>
      <c r="H1" s="12"/>
    </row>
    <row r="2" spans="1:8" ht="15.75" x14ac:dyDescent="0.25">
      <c r="A2" s="28" t="s">
        <v>100</v>
      </c>
      <c r="B2" s="28"/>
      <c r="C2" s="28"/>
      <c r="D2" s="28"/>
      <c r="E2" s="28"/>
      <c r="F2" s="28"/>
      <c r="G2" s="28"/>
      <c r="H2" s="12"/>
    </row>
    <row r="3" spans="1:8" x14ac:dyDescent="0.25">
      <c r="A3" s="12"/>
      <c r="B3" s="12"/>
      <c r="C3" s="12"/>
      <c r="D3" s="12"/>
      <c r="E3" s="12"/>
      <c r="F3" s="12"/>
      <c r="G3" s="12"/>
      <c r="H3" s="12"/>
    </row>
    <row r="4" spans="1:8" x14ac:dyDescent="0.25">
      <c r="A4" s="29" t="s">
        <v>0</v>
      </c>
      <c r="B4" s="29" t="s">
        <v>62</v>
      </c>
      <c r="C4" s="36" t="s">
        <v>1</v>
      </c>
      <c r="D4" s="36"/>
      <c r="E4" s="36"/>
      <c r="F4" s="29" t="s">
        <v>2</v>
      </c>
      <c r="G4" s="29" t="s">
        <v>3</v>
      </c>
      <c r="H4" s="12"/>
    </row>
    <row r="5" spans="1:8" ht="15.75" thickBot="1" x14ac:dyDescent="0.3">
      <c r="A5" s="32"/>
      <c r="B5" s="32"/>
      <c r="C5" s="33" t="s">
        <v>63</v>
      </c>
      <c r="D5" s="33"/>
      <c r="E5" s="34" t="s">
        <v>64</v>
      </c>
      <c r="F5" s="32"/>
      <c r="G5" s="32"/>
      <c r="H5" s="12"/>
    </row>
    <row r="6" spans="1:8" ht="15.75" thickTop="1" x14ac:dyDescent="0.25">
      <c r="A6" s="12"/>
      <c r="B6" s="12"/>
      <c r="C6" s="35" t="s">
        <v>122</v>
      </c>
      <c r="D6" s="35" t="s">
        <v>123</v>
      </c>
      <c r="E6" s="12"/>
      <c r="F6" s="12"/>
      <c r="G6" s="12"/>
      <c r="H6" s="12"/>
    </row>
    <row r="7" spans="1:8" x14ac:dyDescent="0.25">
      <c r="A7" s="25" t="s">
        <v>4</v>
      </c>
      <c r="B7" s="12"/>
      <c r="C7" s="12"/>
      <c r="D7" s="12"/>
      <c r="E7" s="12"/>
      <c r="F7" s="12"/>
      <c r="G7" s="12"/>
      <c r="H7" s="12"/>
    </row>
    <row r="8" spans="1:8" x14ac:dyDescent="0.25">
      <c r="A8" s="12"/>
      <c r="B8" s="12"/>
      <c r="C8" s="12"/>
      <c r="D8" s="12"/>
      <c r="E8" s="12"/>
      <c r="F8" s="12"/>
      <c r="G8" s="12"/>
      <c r="H8" s="12"/>
    </row>
    <row r="9" spans="1:8" x14ac:dyDescent="0.25">
      <c r="A9" s="12" t="s">
        <v>71</v>
      </c>
      <c r="B9" s="12"/>
      <c r="C9" s="12"/>
      <c r="D9" s="12"/>
      <c r="E9" s="12"/>
      <c r="F9" s="12"/>
      <c r="G9" s="12"/>
      <c r="H9" s="12"/>
    </row>
    <row r="10" spans="1:8" x14ac:dyDescent="0.25">
      <c r="A10" s="23" t="s">
        <v>45</v>
      </c>
      <c r="B10" s="10">
        <f>SUM(C10:H10)</f>
        <v>92570</v>
      </c>
      <c r="C10" s="10">
        <v>64181.333333333336</v>
      </c>
      <c r="D10" s="10">
        <v>25590.333333333332</v>
      </c>
      <c r="E10" s="10">
        <v>2798.3333333333335</v>
      </c>
      <c r="F10" s="10"/>
      <c r="G10" s="12"/>
      <c r="H10" s="12"/>
    </row>
    <row r="11" spans="1:8" x14ac:dyDescent="0.25">
      <c r="A11" s="23" t="s">
        <v>101</v>
      </c>
      <c r="B11" s="10">
        <f t="shared" ref="B11:B13" si="0">SUM(C11:H11)</f>
        <v>95203</v>
      </c>
      <c r="C11" s="10">
        <v>92094</v>
      </c>
      <c r="D11" s="10"/>
      <c r="E11" s="10">
        <v>3109</v>
      </c>
      <c r="F11" s="10"/>
      <c r="G11" s="12"/>
      <c r="H11" s="12"/>
    </row>
    <row r="12" spans="1:8" x14ac:dyDescent="0.25">
      <c r="A12" s="23" t="s">
        <v>102</v>
      </c>
      <c r="B12" s="10">
        <f t="shared" si="0"/>
        <v>95888</v>
      </c>
      <c r="C12" s="10">
        <v>67104.666666666672</v>
      </c>
      <c r="D12" s="10">
        <v>25690</v>
      </c>
      <c r="E12" s="10">
        <v>3093.3333333333335</v>
      </c>
      <c r="F12" s="10"/>
      <c r="G12" s="12"/>
      <c r="H12" s="12"/>
    </row>
    <row r="13" spans="1:8" x14ac:dyDescent="0.25">
      <c r="A13" s="23" t="s">
        <v>79</v>
      </c>
      <c r="B13" s="10">
        <f t="shared" si="0"/>
        <v>95203</v>
      </c>
      <c r="C13" s="10">
        <v>92094</v>
      </c>
      <c r="D13" s="10"/>
      <c r="E13" s="10">
        <v>3109</v>
      </c>
      <c r="F13" s="10"/>
      <c r="G13" s="12"/>
      <c r="H13" s="12"/>
    </row>
    <row r="14" spans="1:8" x14ac:dyDescent="0.25">
      <c r="A14" s="12"/>
      <c r="B14" s="12"/>
      <c r="C14" s="12"/>
      <c r="D14" s="12"/>
      <c r="E14" s="12"/>
      <c r="F14" s="12"/>
      <c r="G14" s="12"/>
      <c r="H14" s="12"/>
    </row>
    <row r="15" spans="1:8" x14ac:dyDescent="0.25">
      <c r="A15" s="22" t="s">
        <v>6</v>
      </c>
      <c r="B15" s="12"/>
      <c r="C15" s="12"/>
      <c r="D15" s="12"/>
      <c r="E15" s="12"/>
      <c r="F15" s="12"/>
      <c r="G15" s="12"/>
      <c r="H15" s="12"/>
    </row>
    <row r="16" spans="1:8" x14ac:dyDescent="0.25">
      <c r="A16" s="23" t="s">
        <v>45</v>
      </c>
      <c r="B16" s="10">
        <f>SUM(C16:H16)</f>
        <v>30246607483.930004</v>
      </c>
      <c r="C16" s="10">
        <v>24129358191.712631</v>
      </c>
      <c r="D16" s="10"/>
      <c r="E16" s="10">
        <v>2258122465.5873713</v>
      </c>
      <c r="F16" s="10">
        <v>2715127326.6300001</v>
      </c>
      <c r="G16" s="10">
        <v>1143999500</v>
      </c>
      <c r="H16" s="12"/>
    </row>
    <row r="17" spans="1:8" x14ac:dyDescent="0.25">
      <c r="A17" s="23" t="s">
        <v>101</v>
      </c>
      <c r="B17" s="10">
        <f t="shared" ref="B17:B20" si="1">SUM(C17:H17)</f>
        <v>21369189972</v>
      </c>
      <c r="C17" s="10">
        <f>C11*70125*3</f>
        <v>19374275250</v>
      </c>
      <c r="D17" s="10"/>
      <c r="E17" s="10">
        <f>E11*213886*3</f>
        <v>1994914722</v>
      </c>
      <c r="F17" s="10"/>
      <c r="G17" s="9"/>
      <c r="H17" s="12"/>
    </row>
    <row r="18" spans="1:8" x14ac:dyDescent="0.25">
      <c r="A18" s="23" t="s">
        <v>102</v>
      </c>
      <c r="B18" s="10">
        <f t="shared" si="1"/>
        <v>0</v>
      </c>
      <c r="C18" s="10"/>
      <c r="D18" s="10"/>
      <c r="E18" s="10"/>
      <c r="F18" s="10"/>
      <c r="G18" s="9"/>
      <c r="H18" s="12"/>
    </row>
    <row r="19" spans="1:8" x14ac:dyDescent="0.25">
      <c r="A19" s="23" t="s">
        <v>79</v>
      </c>
      <c r="B19" s="10">
        <f t="shared" si="1"/>
        <v>85476759888</v>
      </c>
      <c r="C19" s="10">
        <f>C13*70125*12</f>
        <v>77497101000</v>
      </c>
      <c r="D19" s="10"/>
      <c r="E19" s="10">
        <f>E13*213886*12</f>
        <v>7979658888</v>
      </c>
      <c r="F19" s="10"/>
      <c r="G19" s="9"/>
      <c r="H19" s="12"/>
    </row>
    <row r="20" spans="1:8" x14ac:dyDescent="0.25">
      <c r="A20" s="23" t="s">
        <v>103</v>
      </c>
      <c r="B20" s="10">
        <f t="shared" si="1"/>
        <v>0</v>
      </c>
      <c r="C20" s="10">
        <f>+C18</f>
        <v>0</v>
      </c>
      <c r="D20" s="10">
        <f t="shared" ref="D20:G20" si="2">+D18</f>
        <v>0</v>
      </c>
      <c r="E20" s="10">
        <f t="shared" si="2"/>
        <v>0</v>
      </c>
      <c r="F20" s="10">
        <f t="shared" si="2"/>
        <v>0</v>
      </c>
      <c r="G20" s="10">
        <f t="shared" si="2"/>
        <v>0</v>
      </c>
      <c r="H20" s="12"/>
    </row>
    <row r="21" spans="1:8" x14ac:dyDescent="0.25">
      <c r="A21" s="12"/>
      <c r="B21" s="10"/>
      <c r="C21" s="10"/>
      <c r="D21" s="10"/>
      <c r="E21" s="10"/>
      <c r="F21" s="10"/>
      <c r="G21" s="12"/>
      <c r="H21" s="12"/>
    </row>
    <row r="22" spans="1:8" x14ac:dyDescent="0.25">
      <c r="A22" s="22" t="s">
        <v>7</v>
      </c>
      <c r="B22" s="10"/>
      <c r="C22" s="10"/>
      <c r="D22" s="10"/>
      <c r="E22" s="10"/>
      <c r="F22" s="10"/>
      <c r="G22" s="10"/>
      <c r="H22" s="12"/>
    </row>
    <row r="23" spans="1:8" x14ac:dyDescent="0.25">
      <c r="A23" s="23" t="s">
        <v>101</v>
      </c>
      <c r="B23" s="10">
        <f>B17</f>
        <v>21369189972</v>
      </c>
      <c r="C23" s="10"/>
      <c r="D23" s="10"/>
      <c r="E23" s="10"/>
      <c r="F23" s="10"/>
      <c r="G23" s="10"/>
      <c r="H23" s="12"/>
    </row>
    <row r="24" spans="1:8" x14ac:dyDescent="0.25">
      <c r="A24" s="23" t="s">
        <v>102</v>
      </c>
      <c r="B24" s="10"/>
      <c r="C24" s="10"/>
      <c r="D24" s="10"/>
      <c r="E24" s="10"/>
      <c r="F24" s="10"/>
      <c r="G24" s="10"/>
      <c r="H24" s="12"/>
    </row>
    <row r="25" spans="1:8" x14ac:dyDescent="0.25">
      <c r="A25" s="12"/>
      <c r="B25" s="12"/>
      <c r="C25" s="12"/>
      <c r="D25" s="12"/>
      <c r="E25" s="12"/>
      <c r="F25" s="12"/>
      <c r="G25" s="12"/>
      <c r="H25" s="12"/>
    </row>
    <row r="26" spans="1:8" x14ac:dyDescent="0.25">
      <c r="A26" s="12" t="s">
        <v>8</v>
      </c>
      <c r="B26" s="12"/>
      <c r="C26" s="12"/>
      <c r="D26" s="12"/>
      <c r="E26" s="12"/>
      <c r="F26" s="12"/>
      <c r="G26" s="12"/>
      <c r="H26" s="12"/>
    </row>
    <row r="27" spans="1:8" x14ac:dyDescent="0.25">
      <c r="A27" s="23" t="s">
        <v>46</v>
      </c>
      <c r="B27" s="24">
        <v>1.4880743485666665</v>
      </c>
      <c r="C27" s="24">
        <v>1.4880743485666665</v>
      </c>
      <c r="D27" s="24">
        <v>1.4880743485666665</v>
      </c>
      <c r="E27" s="24">
        <v>1.4880743485666665</v>
      </c>
      <c r="F27" s="24">
        <v>1.4880743485666665</v>
      </c>
      <c r="G27" s="24">
        <v>1.4880743485666665</v>
      </c>
      <c r="H27" s="12"/>
    </row>
    <row r="28" spans="1:8" x14ac:dyDescent="0.25">
      <c r="A28" s="23" t="s">
        <v>104</v>
      </c>
      <c r="B28" s="24">
        <v>1.56</v>
      </c>
      <c r="C28" s="24">
        <v>1.56</v>
      </c>
      <c r="D28" s="24">
        <v>1.56</v>
      </c>
      <c r="E28" s="24">
        <v>1.56</v>
      </c>
      <c r="F28" s="24">
        <v>1.56</v>
      </c>
      <c r="G28" s="24">
        <v>1.56</v>
      </c>
      <c r="H28" s="12"/>
    </row>
    <row r="29" spans="1:8" x14ac:dyDescent="0.25">
      <c r="A29" s="23" t="s">
        <v>10</v>
      </c>
      <c r="B29" s="11">
        <f>SUM(D29:E29)</f>
        <v>6248</v>
      </c>
      <c r="C29" s="11">
        <v>78777</v>
      </c>
      <c r="D29" s="11" t="s">
        <v>124</v>
      </c>
      <c r="E29" s="11">
        <v>6248</v>
      </c>
      <c r="F29" s="11"/>
      <c r="G29" s="11"/>
      <c r="H29" s="12"/>
    </row>
    <row r="30" spans="1:8" x14ac:dyDescent="0.25">
      <c r="A30" s="12"/>
      <c r="B30" s="12"/>
      <c r="C30" s="12"/>
      <c r="D30" s="12"/>
      <c r="E30" s="12"/>
      <c r="F30" s="12"/>
      <c r="G30" s="12"/>
      <c r="H30" s="12"/>
    </row>
    <row r="31" spans="1:8" x14ac:dyDescent="0.25">
      <c r="A31" s="25" t="s">
        <v>11</v>
      </c>
      <c r="B31" s="12"/>
      <c r="C31" s="12"/>
      <c r="D31" s="12"/>
      <c r="E31" s="12"/>
      <c r="F31" s="12"/>
      <c r="G31" s="12"/>
      <c r="H31" s="12"/>
    </row>
    <row r="32" spans="1:8" x14ac:dyDescent="0.25">
      <c r="A32" s="12" t="s">
        <v>47</v>
      </c>
      <c r="B32" s="10">
        <f>B16/B27</f>
        <v>20326005560.853828</v>
      </c>
      <c r="C32" s="10">
        <f>C16/C27</f>
        <v>16215156329.355692</v>
      </c>
      <c r="D32" s="10">
        <f t="shared" ref="D32:G32" si="3">D16/D27</f>
        <v>0</v>
      </c>
      <c r="E32" s="10">
        <f t="shared" si="3"/>
        <v>1517479598.8939838</v>
      </c>
      <c r="F32" s="10">
        <f t="shared" si="3"/>
        <v>1824591176.6742351</v>
      </c>
      <c r="G32" s="10">
        <f t="shared" si="3"/>
        <v>768778455.92991769</v>
      </c>
      <c r="H32" s="12"/>
    </row>
    <row r="33" spans="1:8" x14ac:dyDescent="0.25">
      <c r="A33" s="12" t="s">
        <v>105</v>
      </c>
      <c r="B33" s="10">
        <f>B18/B28</f>
        <v>0</v>
      </c>
      <c r="C33" s="10">
        <f>C18/C28</f>
        <v>0</v>
      </c>
      <c r="D33" s="10">
        <f t="shared" ref="D33:G33" si="4">D18/D28</f>
        <v>0</v>
      </c>
      <c r="E33" s="10">
        <f t="shared" si="4"/>
        <v>0</v>
      </c>
      <c r="F33" s="10">
        <f t="shared" si="4"/>
        <v>0</v>
      </c>
      <c r="G33" s="10">
        <f t="shared" si="4"/>
        <v>0</v>
      </c>
      <c r="H33" s="12"/>
    </row>
    <row r="34" spans="1:8" x14ac:dyDescent="0.25">
      <c r="A34" s="12" t="s">
        <v>48</v>
      </c>
      <c r="B34" s="10">
        <f>B32/B10</f>
        <v>219574.43621965894</v>
      </c>
      <c r="C34" s="10">
        <f>C32/C10</f>
        <v>252645.9873486947</v>
      </c>
      <c r="D34" s="10">
        <f t="shared" ref="D34:E34" si="5">D32/D10</f>
        <v>0</v>
      </c>
      <c r="E34" s="10">
        <f t="shared" si="5"/>
        <v>542279.78519141767</v>
      </c>
      <c r="F34" s="10"/>
      <c r="G34" s="10"/>
      <c r="H34" s="12"/>
    </row>
    <row r="35" spans="1:8" x14ac:dyDescent="0.25">
      <c r="A35" s="12" t="s">
        <v>106</v>
      </c>
      <c r="B35" s="10">
        <f>B33/B12</f>
        <v>0</v>
      </c>
      <c r="C35" s="10">
        <f>C33/C12</f>
        <v>0</v>
      </c>
      <c r="D35" s="10">
        <f t="shared" ref="D35:E35" si="6">D33/D12</f>
        <v>0</v>
      </c>
      <c r="E35" s="10">
        <f t="shared" si="6"/>
        <v>0</v>
      </c>
      <c r="F35" s="10"/>
      <c r="G35" s="10"/>
      <c r="H35" s="12"/>
    </row>
    <row r="36" spans="1:8" x14ac:dyDescent="0.25">
      <c r="A36" s="12"/>
      <c r="B36" s="12"/>
      <c r="C36" s="12"/>
      <c r="D36" s="12"/>
      <c r="E36" s="12"/>
      <c r="F36" s="12"/>
      <c r="G36" s="12"/>
      <c r="H36" s="12"/>
    </row>
    <row r="37" spans="1:8" x14ac:dyDescent="0.25">
      <c r="A37" s="25" t="s">
        <v>14</v>
      </c>
      <c r="B37" s="12"/>
      <c r="C37" s="12"/>
      <c r="D37" s="12"/>
      <c r="E37" s="12"/>
      <c r="F37" s="12"/>
      <c r="G37" s="12"/>
      <c r="H37" s="12"/>
    </row>
    <row r="38" spans="1:8" x14ac:dyDescent="0.25">
      <c r="A38" s="12"/>
      <c r="B38" s="12"/>
      <c r="C38" s="12"/>
      <c r="D38" s="12"/>
      <c r="E38" s="12"/>
      <c r="F38" s="12"/>
      <c r="G38" s="12"/>
      <c r="H38" s="12"/>
    </row>
    <row r="39" spans="1:8" x14ac:dyDescent="0.25">
      <c r="A39" s="12" t="s">
        <v>15</v>
      </c>
      <c r="B39" s="12"/>
      <c r="C39" s="12"/>
      <c r="D39" s="12"/>
      <c r="E39" s="12"/>
      <c r="F39" s="12"/>
      <c r="G39" s="12"/>
      <c r="H39" s="12"/>
    </row>
    <row r="40" spans="1:8" x14ac:dyDescent="0.25">
      <c r="A40" s="12" t="s">
        <v>16</v>
      </c>
      <c r="B40" s="7">
        <f>((C40*C17+E40*E17)/(C17+E17))</f>
        <v>110.63640037611137</v>
      </c>
      <c r="C40" s="7">
        <f t="shared" ref="C40" si="7">(C11)/C29*100</f>
        <v>116.90468030008758</v>
      </c>
      <c r="D40" s="7" t="e">
        <f t="shared" ref="D40:F40" si="8">(D11)/D29*100</f>
        <v>#VALUE!</v>
      </c>
      <c r="E40" s="7">
        <f t="shared" si="8"/>
        <v>49.759923175416134</v>
      </c>
      <c r="F40" s="7" t="e">
        <f t="shared" si="8"/>
        <v>#DIV/0!</v>
      </c>
      <c r="G40" s="12"/>
      <c r="H40" s="12"/>
    </row>
    <row r="41" spans="1:8" x14ac:dyDescent="0.25">
      <c r="A41" s="12" t="s">
        <v>17</v>
      </c>
      <c r="B41" s="7" t="e">
        <f>((C41*C18+E41*E18)/(C18+E18))</f>
        <v>#DIV/0!</v>
      </c>
      <c r="C41" s="7">
        <f t="shared" ref="C41" si="9">(C12)/C29*100</f>
        <v>85.18306950844368</v>
      </c>
      <c r="D41" s="7" t="e">
        <f t="shared" ref="D41:F41" si="10">(D12)/D29*100</f>
        <v>#VALUE!</v>
      </c>
      <c r="E41" s="7">
        <f t="shared" si="10"/>
        <v>49.509176269739655</v>
      </c>
      <c r="F41" s="7" t="e">
        <f t="shared" si="10"/>
        <v>#DIV/0!</v>
      </c>
      <c r="G41" s="12"/>
      <c r="H41" s="12"/>
    </row>
    <row r="42" spans="1:8" x14ac:dyDescent="0.25">
      <c r="A42" s="12"/>
      <c r="B42" s="12"/>
      <c r="C42" s="12"/>
      <c r="D42" s="12"/>
      <c r="E42" s="12"/>
      <c r="F42" s="12"/>
      <c r="G42" s="12"/>
      <c r="H42" s="12"/>
    </row>
    <row r="43" spans="1:8" x14ac:dyDescent="0.25">
      <c r="A43" s="12" t="s">
        <v>18</v>
      </c>
      <c r="B43" s="12"/>
      <c r="C43" s="12"/>
      <c r="D43" s="12"/>
      <c r="E43" s="12"/>
      <c r="F43" s="12"/>
      <c r="G43" s="12"/>
      <c r="H43" s="12"/>
    </row>
    <row r="44" spans="1:8" x14ac:dyDescent="0.25">
      <c r="A44" s="12" t="s">
        <v>19</v>
      </c>
      <c r="B44" s="7">
        <f>B12/B11*100</f>
        <v>100.71951514132958</v>
      </c>
      <c r="C44" s="7">
        <f>(C12+D12)/C11*100</f>
        <v>100.76081684655533</v>
      </c>
      <c r="D44" s="7" t="e">
        <f>D12/D11*100</f>
        <v>#DIV/0!</v>
      </c>
      <c r="E44" s="7">
        <f>E12/E11*100</f>
        <v>99.49608663021337</v>
      </c>
      <c r="F44" s="7"/>
      <c r="G44" s="12"/>
      <c r="H44" s="12"/>
    </row>
    <row r="45" spans="1:8" x14ac:dyDescent="0.25">
      <c r="A45" s="12" t="s">
        <v>20</v>
      </c>
      <c r="B45" s="7">
        <f>B18/B17*100</f>
        <v>0</v>
      </c>
      <c r="C45" s="7">
        <f>(C18+D18)/C17*100</f>
        <v>0</v>
      </c>
      <c r="D45" s="7" t="e">
        <f>D18/D17*100</f>
        <v>#DIV/0!</v>
      </c>
      <c r="E45" s="7">
        <f>E18/E17*100</f>
        <v>0</v>
      </c>
      <c r="F45" s="7" t="e">
        <f>F18/F17*100</f>
        <v>#DIV/0!</v>
      </c>
      <c r="G45" s="7" t="e">
        <f>G18/G17*100</f>
        <v>#DIV/0!</v>
      </c>
      <c r="H45" s="12"/>
    </row>
    <row r="46" spans="1:8" x14ac:dyDescent="0.25">
      <c r="A46" s="12" t="s">
        <v>21</v>
      </c>
      <c r="B46" s="7">
        <f>AVERAGE(B44:B45)</f>
        <v>50.35975757066479</v>
      </c>
      <c r="C46" s="7">
        <f t="shared" ref="C46" si="11">AVERAGE(C44:C45)</f>
        <v>50.380408423277665</v>
      </c>
      <c r="D46" s="7" t="e">
        <f t="shared" ref="D46:E46" si="12">AVERAGE(D44:D45)</f>
        <v>#DIV/0!</v>
      </c>
      <c r="E46" s="7">
        <f t="shared" si="12"/>
        <v>49.748043315106685</v>
      </c>
      <c r="F46" s="7"/>
      <c r="G46" s="7"/>
      <c r="H46" s="12"/>
    </row>
    <row r="47" spans="1:8" x14ac:dyDescent="0.25">
      <c r="A47" s="12"/>
      <c r="B47" s="7"/>
      <c r="C47" s="7"/>
      <c r="D47" s="7"/>
      <c r="E47" s="7"/>
      <c r="F47" s="7"/>
      <c r="G47" s="7"/>
      <c r="H47" s="12"/>
    </row>
    <row r="48" spans="1:8" x14ac:dyDescent="0.25">
      <c r="A48" s="12" t="s">
        <v>22</v>
      </c>
      <c r="B48" s="12"/>
      <c r="C48" s="12"/>
      <c r="D48" s="12"/>
      <c r="E48" s="12"/>
      <c r="F48" s="12"/>
      <c r="G48" s="12"/>
      <c r="H48" s="12"/>
    </row>
    <row r="49" spans="1:8" x14ac:dyDescent="0.25">
      <c r="A49" s="12" t="s">
        <v>23</v>
      </c>
      <c r="B49" s="7">
        <f>B12/(B13*4)*100</f>
        <v>25.179878785332395</v>
      </c>
      <c r="C49" s="7">
        <f>(C12+D12)/(C13*4)*100</f>
        <v>25.190204211638832</v>
      </c>
      <c r="D49" s="7" t="e">
        <f>D12/(D13*4)*100</f>
        <v>#DIV/0!</v>
      </c>
      <c r="E49" s="7">
        <f t="shared" ref="E49" si="13">E12/(E13*4)*100</f>
        <v>24.874021657553342</v>
      </c>
      <c r="F49" s="7"/>
      <c r="G49" s="7"/>
      <c r="H49" s="12"/>
    </row>
    <row r="50" spans="1:8" x14ac:dyDescent="0.25">
      <c r="A50" s="12" t="s">
        <v>24</v>
      </c>
      <c r="B50" s="7">
        <f>B18/B19*100</f>
        <v>0</v>
      </c>
      <c r="C50" s="7">
        <f>(C18+D18)/C19*100</f>
        <v>0</v>
      </c>
      <c r="D50" s="7" t="e">
        <f>D18/D19*100</f>
        <v>#DIV/0!</v>
      </c>
      <c r="E50" s="7">
        <f>E18/E19*100</f>
        <v>0</v>
      </c>
      <c r="F50" s="7" t="e">
        <f>F18/F19*100</f>
        <v>#DIV/0!</v>
      </c>
      <c r="G50" s="7" t="e">
        <f>G18/G19*100</f>
        <v>#DIV/0!</v>
      </c>
      <c r="H50" s="12"/>
    </row>
    <row r="51" spans="1:8" x14ac:dyDescent="0.25">
      <c r="A51" s="12" t="s">
        <v>25</v>
      </c>
      <c r="B51" s="7">
        <f>(B49+B50)/2</f>
        <v>12.589939392666198</v>
      </c>
      <c r="C51" s="7">
        <f t="shared" ref="C51" si="14">(C49+C50)/2</f>
        <v>12.595102105819416</v>
      </c>
      <c r="D51" s="7" t="e">
        <f t="shared" ref="D51:E51" si="15">(D49+D50)/2</f>
        <v>#DIV/0!</v>
      </c>
      <c r="E51" s="7">
        <f t="shared" si="15"/>
        <v>12.437010828776671</v>
      </c>
      <c r="F51" s="7"/>
      <c r="G51" s="7"/>
      <c r="H51" s="12"/>
    </row>
    <row r="52" spans="1:8" x14ac:dyDescent="0.25">
      <c r="A52" s="12"/>
      <c r="B52" s="12"/>
      <c r="C52" s="12"/>
      <c r="D52" s="12"/>
      <c r="E52" s="12"/>
      <c r="F52" s="12"/>
      <c r="G52" s="12"/>
      <c r="H52" s="12"/>
    </row>
    <row r="53" spans="1:8" x14ac:dyDescent="0.25">
      <c r="A53" s="12" t="s">
        <v>57</v>
      </c>
      <c r="B53" s="12"/>
      <c r="C53" s="12"/>
      <c r="D53" s="12"/>
      <c r="E53" s="12"/>
      <c r="F53" s="12"/>
      <c r="G53" s="12"/>
      <c r="H53" s="12"/>
    </row>
    <row r="54" spans="1:8" x14ac:dyDescent="0.25">
      <c r="A54" s="12" t="s">
        <v>26</v>
      </c>
      <c r="B54" s="7" t="e">
        <f>(B20/B18)*100</f>
        <v>#DIV/0!</v>
      </c>
      <c r="C54" s="7" t="e">
        <f t="shared" ref="C54" si="16">(C20/C18)*100</f>
        <v>#DIV/0!</v>
      </c>
      <c r="D54" s="7" t="e">
        <f t="shared" ref="D54:F54" si="17">(D20/D18)*100</f>
        <v>#DIV/0!</v>
      </c>
      <c r="E54" s="7" t="e">
        <f t="shared" si="17"/>
        <v>#DIV/0!</v>
      </c>
      <c r="F54" s="7" t="e">
        <f t="shared" si="17"/>
        <v>#DIV/0!</v>
      </c>
      <c r="G54" s="7"/>
      <c r="H54" s="12"/>
    </row>
    <row r="55" spans="1:8" x14ac:dyDescent="0.25">
      <c r="A55" s="12"/>
      <c r="B55" s="12"/>
      <c r="C55" s="12"/>
      <c r="D55" s="12"/>
      <c r="E55" s="12"/>
      <c r="F55" s="12"/>
      <c r="G55" s="12"/>
      <c r="H55" s="12"/>
    </row>
    <row r="56" spans="1:8" x14ac:dyDescent="0.25">
      <c r="A56" s="12" t="s">
        <v>27</v>
      </c>
      <c r="B56" s="12"/>
      <c r="C56" s="12"/>
      <c r="D56" s="12"/>
      <c r="E56" s="12"/>
      <c r="F56" s="12"/>
      <c r="G56" s="12"/>
      <c r="H56" s="12"/>
    </row>
    <row r="57" spans="1:8" x14ac:dyDescent="0.25">
      <c r="A57" s="12" t="s">
        <v>28</v>
      </c>
      <c r="B57" s="7">
        <f>((B12/B10)-1)*100</f>
        <v>3.5843145727557424</v>
      </c>
      <c r="C57" s="7">
        <f>(((C12+D12)/C10)-1)*100</f>
        <v>44.582017616752537</v>
      </c>
      <c r="D57" s="7">
        <f>((D12/D10)-1)*100</f>
        <v>0.38946998215472206</v>
      </c>
      <c r="E57" s="7">
        <f>((E12/E10)-1)*100</f>
        <v>10.541989279332942</v>
      </c>
      <c r="F57" s="7"/>
      <c r="G57" s="7"/>
      <c r="H57" s="12"/>
    </row>
    <row r="58" spans="1:8" x14ac:dyDescent="0.25">
      <c r="A58" s="12" t="s">
        <v>29</v>
      </c>
      <c r="B58" s="7">
        <f>((B33/B32)-1)*100</f>
        <v>-100</v>
      </c>
      <c r="C58" s="7">
        <f>(((C33+D33)/C32)-1)*100</f>
        <v>-100</v>
      </c>
      <c r="D58" s="7" t="e">
        <f t="shared" ref="D58:G58" si="18">((D33/D32)-1)*100</f>
        <v>#DIV/0!</v>
      </c>
      <c r="E58" s="7">
        <f t="shared" si="18"/>
        <v>-100</v>
      </c>
      <c r="F58" s="7">
        <f t="shared" si="18"/>
        <v>-100</v>
      </c>
      <c r="G58" s="7">
        <f t="shared" si="18"/>
        <v>-100</v>
      </c>
      <c r="H58" s="12"/>
    </row>
    <row r="59" spans="1:8" x14ac:dyDescent="0.25">
      <c r="A59" s="12" t="s">
        <v>30</v>
      </c>
      <c r="B59" s="7">
        <f>((B35/B34)-1)*100</f>
        <v>-100</v>
      </c>
      <c r="C59" s="7">
        <f>(((C35+D35)/C34)-1)*100</f>
        <v>-100</v>
      </c>
      <c r="D59" s="7" t="e">
        <f t="shared" ref="D59:E59" si="19">((D35/D34)-1)*100</f>
        <v>#DIV/0!</v>
      </c>
      <c r="E59" s="7">
        <f t="shared" si="19"/>
        <v>-100</v>
      </c>
      <c r="F59" s="7"/>
      <c r="G59" s="7"/>
      <c r="H59" s="12"/>
    </row>
    <row r="60" spans="1:8" x14ac:dyDescent="0.25">
      <c r="A60" s="12"/>
      <c r="B60" s="7"/>
      <c r="C60" s="7"/>
      <c r="D60" s="7"/>
      <c r="E60" s="7"/>
      <c r="F60" s="7"/>
      <c r="G60" s="7"/>
      <c r="H60" s="12"/>
    </row>
    <row r="61" spans="1:8" x14ac:dyDescent="0.25">
      <c r="A61" s="12" t="s">
        <v>31</v>
      </c>
      <c r="B61" s="12"/>
      <c r="C61" s="12"/>
      <c r="D61" s="12"/>
      <c r="E61" s="12"/>
      <c r="F61" s="12"/>
      <c r="G61" s="12"/>
      <c r="H61" s="12"/>
    </row>
    <row r="62" spans="1:8" x14ac:dyDescent="0.25">
      <c r="A62" s="12" t="s">
        <v>58</v>
      </c>
      <c r="B62" s="10">
        <f>B17/(B11*3)</f>
        <v>74819.73597470668</v>
      </c>
      <c r="C62" s="10">
        <f t="shared" ref="C62" si="20">C17/(C11*3)</f>
        <v>70125</v>
      </c>
      <c r="D62" s="10" t="e">
        <f t="shared" ref="D62:E63" si="21">D17/(D11*3)</f>
        <v>#DIV/0!</v>
      </c>
      <c r="E62" s="10">
        <f t="shared" si="21"/>
        <v>213886</v>
      </c>
      <c r="F62" s="10"/>
      <c r="G62" s="10"/>
      <c r="H62" s="12"/>
    </row>
    <row r="63" spans="1:8" x14ac:dyDescent="0.25">
      <c r="A63" s="12" t="s">
        <v>59</v>
      </c>
      <c r="B63" s="10">
        <f>B18/(B12*3)</f>
        <v>0</v>
      </c>
      <c r="C63" s="10">
        <f>(C18+D18)/(C12*3)</f>
        <v>0</v>
      </c>
      <c r="D63" s="10">
        <f>D18/(D12*3)</f>
        <v>0</v>
      </c>
      <c r="E63" s="10">
        <f t="shared" si="21"/>
        <v>0</v>
      </c>
      <c r="F63" s="10"/>
      <c r="G63" s="10"/>
      <c r="H63" s="12"/>
    </row>
    <row r="64" spans="1:8" x14ac:dyDescent="0.25">
      <c r="A64" s="12" t="s">
        <v>32</v>
      </c>
      <c r="B64" s="7" t="e">
        <f>(B62/B63)*B46</f>
        <v>#DIV/0!</v>
      </c>
      <c r="C64" s="7" t="e">
        <f t="shared" ref="C64" si="22">(C62/C63)*C46</f>
        <v>#DIV/0!</v>
      </c>
      <c r="D64" s="7" t="e">
        <f t="shared" ref="D64:E64" si="23">(D62/D63)*D46</f>
        <v>#DIV/0!</v>
      </c>
      <c r="E64" s="7" t="e">
        <f t="shared" si="23"/>
        <v>#DIV/0!</v>
      </c>
      <c r="F64" s="7"/>
      <c r="G64" s="7"/>
      <c r="H64" s="12"/>
    </row>
    <row r="65" spans="1:8" x14ac:dyDescent="0.25">
      <c r="A65" s="7" t="s">
        <v>60</v>
      </c>
      <c r="B65" s="10">
        <f>B17/B11</f>
        <v>224459.20792412004</v>
      </c>
      <c r="C65" s="10">
        <f t="shared" ref="C65" si="24">C17/C11</f>
        <v>210375</v>
      </c>
      <c r="D65" s="10" t="e">
        <f t="shared" ref="D65:E66" si="25">D17/D11</f>
        <v>#DIV/0!</v>
      </c>
      <c r="E65" s="10">
        <f t="shared" si="25"/>
        <v>641658</v>
      </c>
      <c r="F65" s="7"/>
      <c r="G65" s="7"/>
      <c r="H65" s="12"/>
    </row>
    <row r="66" spans="1:8" x14ac:dyDescent="0.25">
      <c r="A66" s="7" t="s">
        <v>61</v>
      </c>
      <c r="B66" s="10">
        <f>B18/B12</f>
        <v>0</v>
      </c>
      <c r="C66" s="10">
        <f>(C18+D18)/C12</f>
        <v>0</v>
      </c>
      <c r="D66" s="10">
        <f t="shared" si="25"/>
        <v>0</v>
      </c>
      <c r="E66" s="10">
        <f t="shared" si="25"/>
        <v>0</v>
      </c>
      <c r="F66" s="7"/>
      <c r="G66" s="7"/>
      <c r="H66" s="12"/>
    </row>
    <row r="67" spans="1:8" x14ac:dyDescent="0.25">
      <c r="A67" s="12"/>
      <c r="B67" s="7"/>
      <c r="C67" s="7"/>
      <c r="D67" s="7"/>
      <c r="E67" s="7"/>
      <c r="F67" s="7"/>
      <c r="G67" s="7"/>
      <c r="H67" s="12"/>
    </row>
    <row r="68" spans="1:8" x14ac:dyDescent="0.25">
      <c r="A68" s="12" t="s">
        <v>33</v>
      </c>
      <c r="B68" s="7"/>
      <c r="C68" s="7"/>
      <c r="D68" s="7"/>
      <c r="E68" s="7"/>
      <c r="F68" s="7"/>
      <c r="G68" s="7"/>
      <c r="H68" s="12"/>
    </row>
    <row r="69" spans="1:8" x14ac:dyDescent="0.25">
      <c r="A69" s="12" t="s">
        <v>34</v>
      </c>
      <c r="B69" s="7">
        <f>(B24/B23)*100</f>
        <v>0</v>
      </c>
      <c r="C69" s="7"/>
      <c r="D69" s="7"/>
      <c r="E69" s="7"/>
      <c r="F69" s="7"/>
      <c r="G69" s="7"/>
      <c r="H69" s="12"/>
    </row>
    <row r="70" spans="1:8" x14ac:dyDescent="0.25">
      <c r="A70" s="12" t="s">
        <v>35</v>
      </c>
      <c r="B70" s="7" t="e">
        <f>(B18/B24)*100</f>
        <v>#DIV/0!</v>
      </c>
      <c r="C70" s="7"/>
      <c r="D70" s="7"/>
      <c r="E70" s="7"/>
      <c r="F70" s="7"/>
      <c r="G70" s="7"/>
      <c r="H70" s="12"/>
    </row>
    <row r="71" spans="1:8" ht="15.75" thickBot="1" x14ac:dyDescent="0.3">
      <c r="A71" s="26"/>
      <c r="B71" s="26"/>
      <c r="C71" s="26"/>
      <c r="D71" s="26"/>
      <c r="E71" s="26"/>
      <c r="F71" s="26"/>
      <c r="G71" s="26"/>
      <c r="H71" s="12"/>
    </row>
    <row r="72" spans="1:8" ht="15.75" thickTop="1" x14ac:dyDescent="0.25">
      <c r="A72" s="12"/>
      <c r="B72" s="12"/>
      <c r="C72" s="12"/>
      <c r="D72" s="12"/>
      <c r="E72" s="12"/>
      <c r="F72" s="12"/>
      <c r="G72" s="12"/>
      <c r="H72" s="12"/>
    </row>
    <row r="73" spans="1:8" x14ac:dyDescent="0.25">
      <c r="A73" s="12"/>
      <c r="B73" s="12"/>
      <c r="C73" s="12"/>
      <c r="D73" s="12"/>
      <c r="E73" s="12"/>
      <c r="F73" s="12"/>
      <c r="G73" s="12"/>
      <c r="H73" s="12"/>
    </row>
    <row r="74" spans="1:8" x14ac:dyDescent="0.25">
      <c r="A74" s="12" t="s">
        <v>40</v>
      </c>
      <c r="B74" s="12"/>
      <c r="C74" s="12"/>
      <c r="D74" s="12"/>
      <c r="E74" s="12"/>
      <c r="F74" s="12"/>
      <c r="G74" s="12"/>
      <c r="H74" s="12"/>
    </row>
    <row r="75" spans="1:8" x14ac:dyDescent="0.25">
      <c r="A75" s="12" t="s">
        <v>121</v>
      </c>
      <c r="B75" s="27"/>
      <c r="C75" s="27"/>
      <c r="D75" s="27"/>
      <c r="E75" s="27"/>
      <c r="F75" s="12"/>
      <c r="G75" s="12"/>
      <c r="H75" s="12"/>
    </row>
    <row r="76" spans="1:8" x14ac:dyDescent="0.25">
      <c r="A76" s="12" t="s">
        <v>84</v>
      </c>
      <c r="B76" s="12"/>
      <c r="C76" s="12"/>
      <c r="D76" s="12"/>
      <c r="E76" s="12"/>
      <c r="F76" s="12"/>
      <c r="G76" s="12"/>
      <c r="H76" s="12"/>
    </row>
    <row r="77" spans="1:8" x14ac:dyDescent="0.25">
      <c r="A77" s="12" t="s">
        <v>85</v>
      </c>
      <c r="B77" s="12"/>
      <c r="C77" s="12"/>
      <c r="D77" s="12"/>
      <c r="E77" s="12"/>
      <c r="F77" s="12"/>
      <c r="G77" s="12"/>
      <c r="H77" s="12"/>
    </row>
    <row r="78" spans="1:8" x14ac:dyDescent="0.25">
      <c r="A78" s="12"/>
      <c r="B78" s="12"/>
      <c r="C78" s="12"/>
      <c r="D78" s="12"/>
      <c r="E78" s="12"/>
      <c r="F78" s="12"/>
      <c r="G78" s="12"/>
      <c r="H78" s="12"/>
    </row>
    <row r="79" spans="1:8" x14ac:dyDescent="0.25">
      <c r="A79" s="12" t="s">
        <v>73</v>
      </c>
      <c r="B79" s="12"/>
      <c r="C79" s="12"/>
      <c r="D79" s="12"/>
      <c r="E79" s="12"/>
      <c r="F79" s="12"/>
      <c r="G79" s="12"/>
      <c r="H79" s="12"/>
    </row>
    <row r="80" spans="1:8" x14ac:dyDescent="0.25">
      <c r="A80" s="1" t="s">
        <v>75</v>
      </c>
    </row>
    <row r="81" spans="1:1" x14ac:dyDescent="0.25">
      <c r="A81" s="1" t="s">
        <v>74</v>
      </c>
    </row>
    <row r="82" spans="1:1" x14ac:dyDescent="0.25">
      <c r="A82" s="1" t="s">
        <v>72</v>
      </c>
    </row>
  </sheetData>
  <mergeCells count="7">
    <mergeCell ref="A4:A5"/>
    <mergeCell ref="A2:G2"/>
    <mergeCell ref="B4:B5"/>
    <mergeCell ref="F4:F5"/>
    <mergeCell ref="G4:G5"/>
    <mergeCell ref="C4:E4"/>
    <mergeCell ref="C5:D5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2"/>
  <sheetViews>
    <sheetView workbookViewId="0">
      <selection activeCell="F3" sqref="F3"/>
    </sheetView>
  </sheetViews>
  <sheetFormatPr baseColWidth="10" defaultRowHeight="15" x14ac:dyDescent="0.25"/>
  <cols>
    <col min="1" max="1" width="55.140625" style="1" customWidth="1"/>
    <col min="2" max="3" width="16.140625" style="1" customWidth="1"/>
    <col min="4" max="4" width="17" style="1" bestFit="1" customWidth="1"/>
    <col min="5" max="5" width="16.42578125" style="1" bestFit="1" customWidth="1"/>
    <col min="6" max="6" width="14.7109375" style="1" bestFit="1" customWidth="1"/>
    <col min="7" max="7" width="17.5703125" style="1" bestFit="1" customWidth="1"/>
    <col min="8" max="16384" width="11.42578125" style="1"/>
  </cols>
  <sheetData>
    <row r="1" spans="1:8" x14ac:dyDescent="0.25">
      <c r="A1" s="12"/>
      <c r="B1" s="12"/>
      <c r="C1" s="12"/>
      <c r="D1" s="12"/>
      <c r="E1" s="12"/>
      <c r="F1" s="12"/>
      <c r="G1" s="12"/>
      <c r="H1" s="12"/>
    </row>
    <row r="2" spans="1:8" ht="15.75" x14ac:dyDescent="0.25">
      <c r="A2" s="28" t="s">
        <v>107</v>
      </c>
      <c r="B2" s="28"/>
      <c r="C2" s="28"/>
      <c r="D2" s="28"/>
      <c r="E2" s="28"/>
      <c r="F2" s="28"/>
      <c r="G2" s="28"/>
      <c r="H2" s="12"/>
    </row>
    <row r="3" spans="1:8" x14ac:dyDescent="0.25">
      <c r="A3" s="12"/>
      <c r="B3" s="12"/>
      <c r="C3" s="12"/>
      <c r="D3" s="12"/>
      <c r="E3" s="12"/>
      <c r="F3" s="12"/>
      <c r="G3" s="12"/>
      <c r="H3" s="12"/>
    </row>
    <row r="4" spans="1:8" x14ac:dyDescent="0.25">
      <c r="A4" s="29" t="s">
        <v>0</v>
      </c>
      <c r="B4" s="29" t="s">
        <v>62</v>
      </c>
      <c r="C4" s="30"/>
      <c r="D4" s="31" t="s">
        <v>1</v>
      </c>
      <c r="E4" s="31"/>
      <c r="F4" s="29" t="s">
        <v>2</v>
      </c>
      <c r="G4" s="29" t="s">
        <v>3</v>
      </c>
      <c r="H4" s="12"/>
    </row>
    <row r="5" spans="1:8" ht="15.75" thickBot="1" x14ac:dyDescent="0.3">
      <c r="A5" s="32"/>
      <c r="B5" s="32"/>
      <c r="C5" s="33" t="s">
        <v>63</v>
      </c>
      <c r="D5" s="33"/>
      <c r="E5" s="34" t="s">
        <v>64</v>
      </c>
      <c r="F5" s="32"/>
      <c r="G5" s="32"/>
      <c r="H5" s="12"/>
    </row>
    <row r="6" spans="1:8" ht="15.75" thickTop="1" x14ac:dyDescent="0.25">
      <c r="A6" s="12"/>
      <c r="B6" s="12"/>
      <c r="C6" s="35" t="s">
        <v>122</v>
      </c>
      <c r="D6" s="35" t="s">
        <v>123</v>
      </c>
      <c r="E6" s="12"/>
      <c r="F6" s="12"/>
      <c r="G6" s="12"/>
      <c r="H6" s="12"/>
    </row>
    <row r="7" spans="1:8" x14ac:dyDescent="0.25">
      <c r="A7" s="25" t="s">
        <v>4</v>
      </c>
      <c r="B7" s="12"/>
      <c r="C7" s="12"/>
      <c r="D7" s="12"/>
      <c r="E7" s="12"/>
      <c r="F7" s="12"/>
      <c r="G7" s="12"/>
      <c r="H7" s="12"/>
    </row>
    <row r="8" spans="1:8" x14ac:dyDescent="0.25">
      <c r="A8" s="12"/>
      <c r="B8" s="12"/>
      <c r="C8" s="12"/>
      <c r="D8" s="12"/>
      <c r="E8" s="12"/>
      <c r="F8" s="12"/>
      <c r="G8" s="12"/>
      <c r="H8" s="12"/>
    </row>
    <row r="9" spans="1:8" x14ac:dyDescent="0.25">
      <c r="A9" s="12" t="s">
        <v>71</v>
      </c>
      <c r="B9" s="12"/>
      <c r="C9" s="12"/>
      <c r="D9" s="12"/>
      <c r="E9" s="12"/>
      <c r="F9" s="12"/>
      <c r="G9" s="12"/>
      <c r="H9" s="12"/>
    </row>
    <row r="10" spans="1:8" x14ac:dyDescent="0.25">
      <c r="A10" s="23" t="s">
        <v>49</v>
      </c>
      <c r="B10" s="10">
        <f>SUM(D10:H10)</f>
        <v>27857</v>
      </c>
      <c r="C10" s="10">
        <f>(+'I Trimestre'!C10+'II Trimestre'!C10)/2</f>
        <v>63018</v>
      </c>
      <c r="D10" s="10">
        <f>(+'I Trimestre'!D10+'II Trimestre'!D10)/2</f>
        <v>25211.5</v>
      </c>
      <c r="E10" s="10">
        <f>(+'I Trimestre'!E10+'II Trimestre'!E10)/2</f>
        <v>2645.5</v>
      </c>
      <c r="F10" s="10">
        <f>+'I Trimestre'!F10+'II Trimestre'!F10/2</f>
        <v>0</v>
      </c>
      <c r="G10" s="10">
        <f>+'I Trimestre'!G10+'II Trimestre'!G10/2</f>
        <v>0</v>
      </c>
      <c r="H10" s="12"/>
    </row>
    <row r="11" spans="1:8" x14ac:dyDescent="0.25">
      <c r="A11" s="23" t="s">
        <v>108</v>
      </c>
      <c r="B11" s="10">
        <f t="shared" ref="B11:B13" si="0">SUM(D11:H11)</f>
        <v>3109</v>
      </c>
      <c r="C11" s="10">
        <f>(+'I Trimestre'!C11+'II Trimestre'!C11)/2</f>
        <v>92094</v>
      </c>
      <c r="D11" s="10">
        <f>(+'I Trimestre'!D11+'II Trimestre'!D11)/2</f>
        <v>0</v>
      </c>
      <c r="E11" s="10">
        <f>(+'I Trimestre'!E11+'II Trimestre'!E11)/2</f>
        <v>3109</v>
      </c>
      <c r="F11" s="10">
        <f>+'I Trimestre'!F11+'II Trimestre'!F11/2</f>
        <v>0</v>
      </c>
      <c r="G11" s="10">
        <f>+'I Trimestre'!G11+'II Trimestre'!G11/2</f>
        <v>0</v>
      </c>
      <c r="H11" s="12"/>
    </row>
    <row r="12" spans="1:8" x14ac:dyDescent="0.25">
      <c r="A12" s="23" t="s">
        <v>109</v>
      </c>
      <c r="B12" s="10">
        <f t="shared" si="0"/>
        <v>28699.666666666668</v>
      </c>
      <c r="C12" s="10">
        <f>(+'I Trimestre'!C12+'II Trimestre'!C12)/2</f>
        <v>64857.166666666672</v>
      </c>
      <c r="D12" s="10">
        <f>(+'I Trimestre'!D12+'II Trimestre'!D12)/2</f>
        <v>25829</v>
      </c>
      <c r="E12" s="10">
        <f>(+'I Trimestre'!E12+'II Trimestre'!E12)/2</f>
        <v>2870.6666666666665</v>
      </c>
      <c r="F12" s="10">
        <f>+'I Trimestre'!F12+'II Trimestre'!F12/2</f>
        <v>0</v>
      </c>
      <c r="G12" s="10">
        <f>+'I Trimestre'!G12+'II Trimestre'!G12/2</f>
        <v>0</v>
      </c>
      <c r="H12" s="12"/>
    </row>
    <row r="13" spans="1:8" x14ac:dyDescent="0.25">
      <c r="A13" s="23" t="s">
        <v>79</v>
      </c>
      <c r="B13" s="10">
        <f t="shared" si="0"/>
        <v>0</v>
      </c>
      <c r="C13" s="10"/>
      <c r="D13" s="10"/>
      <c r="E13" s="10"/>
      <c r="F13" s="10"/>
      <c r="G13" s="10"/>
      <c r="H13" s="12"/>
    </row>
    <row r="14" spans="1:8" x14ac:dyDescent="0.25">
      <c r="A14" s="12"/>
      <c r="B14" s="12"/>
      <c r="C14" s="12"/>
      <c r="D14" s="12"/>
      <c r="E14" s="12"/>
      <c r="F14" s="12"/>
      <c r="G14" s="12"/>
      <c r="H14" s="12"/>
    </row>
    <row r="15" spans="1:8" x14ac:dyDescent="0.25">
      <c r="A15" s="22" t="s">
        <v>6</v>
      </c>
      <c r="B15" s="12"/>
      <c r="C15" s="12"/>
      <c r="D15" s="12"/>
      <c r="E15" s="12"/>
      <c r="F15" s="12"/>
      <c r="G15" s="12"/>
      <c r="H15" s="12"/>
    </row>
    <row r="16" spans="1:8" x14ac:dyDescent="0.25">
      <c r="A16" s="23" t="s">
        <v>49</v>
      </c>
      <c r="B16" s="10">
        <f>SUM(D16:H16)</f>
        <v>18814129055.766289</v>
      </c>
      <c r="C16" s="10">
        <f>+'I Trimestre'!C16+'II Trimestre'!C16</f>
        <v>23103313753.433712</v>
      </c>
      <c r="D16" s="10">
        <f>+'I Trimestre'!D16+'II Trimestre'!D16</f>
        <v>9242727083.4662876</v>
      </c>
      <c r="E16" s="10">
        <f>+'I Trimestre'!E16+'II Trimestre'!E16</f>
        <v>3156797644.8000002</v>
      </c>
      <c r="F16" s="10">
        <f>+'I Trimestre'!F16+'II Trimestre'!F16</f>
        <v>4761904327.5</v>
      </c>
      <c r="G16" s="10">
        <f>+'I Trimestre'!G16+'II Trimestre'!G16</f>
        <v>1652700000</v>
      </c>
      <c r="H16" s="12"/>
    </row>
    <row r="17" spans="1:8" x14ac:dyDescent="0.25">
      <c r="A17" s="23" t="s">
        <v>108</v>
      </c>
      <c r="B17" s="10">
        <f t="shared" ref="B17:B20" si="1">SUM(D17:H17)</f>
        <v>3989829444</v>
      </c>
      <c r="C17" s="10">
        <f>+'I Trimestre'!C17+'II Trimestre'!C17</f>
        <v>38748550500</v>
      </c>
      <c r="D17" s="10">
        <f>+'I Trimestre'!D17+'II Trimestre'!D17</f>
        <v>0</v>
      </c>
      <c r="E17" s="10">
        <f>+'I Trimestre'!E17+'II Trimestre'!E17</f>
        <v>3989829444</v>
      </c>
      <c r="F17" s="10">
        <f>+'I Trimestre'!F17+'II Trimestre'!F17</f>
        <v>0</v>
      </c>
      <c r="G17" s="10">
        <f>+'I Trimestre'!G17+'II Trimestre'!G17</f>
        <v>0</v>
      </c>
      <c r="H17" s="12"/>
    </row>
    <row r="18" spans="1:8" x14ac:dyDescent="0.25">
      <c r="A18" s="23" t="s">
        <v>109</v>
      </c>
      <c r="B18" s="10">
        <f t="shared" si="1"/>
        <v>19843261222.850567</v>
      </c>
      <c r="C18" s="10">
        <f>+'I Trimestre'!C18+'II Trimestre'!C18</f>
        <v>24045673641.879436</v>
      </c>
      <c r="D18" s="10">
        <f>+'I Trimestre'!D18+'II Trimestre'!D18</f>
        <v>9573734743.7905636</v>
      </c>
      <c r="E18" s="10">
        <f>+'I Trimestre'!E18+'II Trimestre'!E18</f>
        <v>3621875968.5500002</v>
      </c>
      <c r="F18" s="10">
        <f>+'I Trimestre'!F18+'II Trimestre'!F18</f>
        <v>4931150510.4899998</v>
      </c>
      <c r="G18" s="10">
        <f>+'I Trimestre'!G18+'II Trimestre'!G18</f>
        <v>1716500000.02</v>
      </c>
      <c r="H18" s="12"/>
    </row>
    <row r="19" spans="1:8" x14ac:dyDescent="0.25">
      <c r="A19" s="23" t="s">
        <v>79</v>
      </c>
      <c r="B19" s="10">
        <f t="shared" si="1"/>
        <v>7979658888</v>
      </c>
      <c r="C19" s="10">
        <f>+'II Trimestre'!C19</f>
        <v>77497101000</v>
      </c>
      <c r="D19" s="10">
        <f>+'II Trimestre'!D19</f>
        <v>0</v>
      </c>
      <c r="E19" s="10">
        <f>+'II Trimestre'!E19</f>
        <v>7979658888</v>
      </c>
      <c r="F19" s="10">
        <f>+'II Trimestre'!F19</f>
        <v>0</v>
      </c>
      <c r="G19" s="10">
        <f>+'II Trimestre'!G19</f>
        <v>0</v>
      </c>
      <c r="H19" s="12"/>
    </row>
    <row r="20" spans="1:8" x14ac:dyDescent="0.25">
      <c r="A20" s="23" t="s">
        <v>110</v>
      </c>
      <c r="B20" s="10">
        <f t="shared" si="1"/>
        <v>19843261222.850567</v>
      </c>
      <c r="C20" s="10">
        <f>+C18</f>
        <v>24045673641.879436</v>
      </c>
      <c r="D20" s="10">
        <f>+D18</f>
        <v>9573734743.7905636</v>
      </c>
      <c r="E20" s="10">
        <f t="shared" ref="E20:G20" si="2">+E18</f>
        <v>3621875968.5500002</v>
      </c>
      <c r="F20" s="10">
        <f t="shared" si="2"/>
        <v>4931150510.4899998</v>
      </c>
      <c r="G20" s="10">
        <f t="shared" si="2"/>
        <v>1716500000.02</v>
      </c>
      <c r="H20" s="12"/>
    </row>
    <row r="21" spans="1:8" x14ac:dyDescent="0.25">
      <c r="A21" s="12"/>
      <c r="B21" s="10"/>
      <c r="C21" s="10"/>
      <c r="D21" s="10"/>
      <c r="E21" s="10"/>
      <c r="F21" s="10"/>
      <c r="G21" s="12"/>
      <c r="H21" s="12"/>
    </row>
    <row r="22" spans="1:8" x14ac:dyDescent="0.25">
      <c r="A22" s="22" t="s">
        <v>7</v>
      </c>
      <c r="B22" s="10"/>
      <c r="C22" s="10"/>
      <c r="D22" s="10"/>
      <c r="E22" s="10"/>
      <c r="F22" s="10"/>
      <c r="G22" s="10"/>
      <c r="H22" s="12"/>
    </row>
    <row r="23" spans="1:8" x14ac:dyDescent="0.25">
      <c r="A23" s="23" t="s">
        <v>108</v>
      </c>
      <c r="B23" s="10">
        <f>B17</f>
        <v>3989829444</v>
      </c>
      <c r="C23" s="10"/>
      <c r="D23" s="10"/>
      <c r="E23" s="10"/>
      <c r="F23" s="10"/>
      <c r="G23" s="10"/>
      <c r="H23" s="12"/>
    </row>
    <row r="24" spans="1:8" x14ac:dyDescent="0.25">
      <c r="A24" s="23" t="s">
        <v>109</v>
      </c>
      <c r="B24" s="10">
        <f>+'I Trimestre'!B24+'II Trimestre'!B24</f>
        <v>54026434864.709991</v>
      </c>
      <c r="C24" s="10"/>
      <c r="D24" s="10"/>
      <c r="E24" s="10"/>
      <c r="F24" s="10"/>
      <c r="G24" s="10"/>
      <c r="H24" s="12"/>
    </row>
    <row r="25" spans="1:8" x14ac:dyDescent="0.25">
      <c r="A25" s="12"/>
      <c r="B25" s="12"/>
      <c r="C25" s="12"/>
      <c r="D25" s="12"/>
      <c r="E25" s="12"/>
      <c r="F25" s="12"/>
      <c r="G25" s="12"/>
      <c r="H25" s="12"/>
    </row>
    <row r="26" spans="1:8" x14ac:dyDescent="0.25">
      <c r="A26" s="12" t="s">
        <v>8</v>
      </c>
      <c r="B26" s="12"/>
      <c r="C26" s="12"/>
      <c r="D26" s="12"/>
      <c r="E26" s="12"/>
      <c r="F26" s="12"/>
      <c r="G26" s="12"/>
      <c r="H26" s="12"/>
    </row>
    <row r="27" spans="1:8" x14ac:dyDescent="0.25">
      <c r="A27" s="23" t="s">
        <v>50</v>
      </c>
      <c r="B27" s="24">
        <v>1.45394391315</v>
      </c>
      <c r="C27" s="24">
        <v>1.4880743485666665</v>
      </c>
      <c r="D27" s="24">
        <v>1.45394391315</v>
      </c>
      <c r="E27" s="24">
        <v>1.45394391315</v>
      </c>
      <c r="F27" s="24">
        <v>1.45394391315</v>
      </c>
      <c r="G27" s="24">
        <v>1.45394391315</v>
      </c>
      <c r="H27" s="12"/>
    </row>
    <row r="28" spans="1:8" x14ac:dyDescent="0.25">
      <c r="A28" s="23" t="s">
        <v>111</v>
      </c>
      <c r="B28" s="24">
        <v>1.5189901056499999</v>
      </c>
      <c r="C28" s="24">
        <v>1.56</v>
      </c>
      <c r="D28" s="24">
        <v>1.5189901056499999</v>
      </c>
      <c r="E28" s="24">
        <v>1.5189901056499999</v>
      </c>
      <c r="F28" s="24">
        <v>1.5189901056499999</v>
      </c>
      <c r="G28" s="24">
        <v>1.5189901056499999</v>
      </c>
      <c r="H28" s="12"/>
    </row>
    <row r="29" spans="1:8" x14ac:dyDescent="0.25">
      <c r="A29" s="23" t="s">
        <v>10</v>
      </c>
      <c r="B29" s="11">
        <f>SUM(D29:E29)</f>
        <v>6248</v>
      </c>
      <c r="C29" s="11">
        <v>78777</v>
      </c>
      <c r="D29" s="11" t="s">
        <v>124</v>
      </c>
      <c r="E29" s="11">
        <v>6248</v>
      </c>
      <c r="F29" s="11"/>
      <c r="G29" s="11"/>
      <c r="H29" s="12"/>
    </row>
    <row r="30" spans="1:8" x14ac:dyDescent="0.25">
      <c r="A30" s="12"/>
      <c r="B30" s="12"/>
      <c r="C30" s="12"/>
      <c r="D30" s="12"/>
      <c r="E30" s="12"/>
      <c r="F30" s="12"/>
      <c r="G30" s="12"/>
      <c r="H30" s="12"/>
    </row>
    <row r="31" spans="1:8" x14ac:dyDescent="0.25">
      <c r="A31" s="25" t="s">
        <v>11</v>
      </c>
      <c r="B31" s="12"/>
      <c r="C31" s="12"/>
      <c r="D31" s="12"/>
      <c r="E31" s="12"/>
      <c r="F31" s="12"/>
      <c r="G31" s="12"/>
      <c r="H31" s="12"/>
    </row>
    <row r="32" spans="1:8" x14ac:dyDescent="0.25">
      <c r="A32" s="12" t="s">
        <v>51</v>
      </c>
      <c r="B32" s="10">
        <f>B16/B27</f>
        <v>12940065215.449118</v>
      </c>
      <c r="C32" s="10">
        <f>C16/C27</f>
        <v>15525644787.632511</v>
      </c>
      <c r="D32" s="10">
        <f t="shared" ref="D32:G32" si="3">D16/D27</f>
        <v>6357003870.5562754</v>
      </c>
      <c r="E32" s="10">
        <f t="shared" si="3"/>
        <v>2171196300.1108699</v>
      </c>
      <c r="F32" s="10">
        <f t="shared" si="3"/>
        <v>3275163700.9045515</v>
      </c>
      <c r="G32" s="10">
        <f t="shared" si="3"/>
        <v>1136701343.8774202</v>
      </c>
      <c r="H32" s="12"/>
    </row>
    <row r="33" spans="1:8" x14ac:dyDescent="0.25">
      <c r="A33" s="12" t="s">
        <v>112</v>
      </c>
      <c r="B33" s="10">
        <f>B18/B28</f>
        <v>13063456535.392849</v>
      </c>
      <c r="C33" s="10">
        <f>C18/C28</f>
        <v>15413893360.179125</v>
      </c>
      <c r="D33" s="10">
        <f t="shared" ref="D33:G33" si="4">D18/D28</f>
        <v>6302697238.2376451</v>
      </c>
      <c r="E33" s="10">
        <f t="shared" si="4"/>
        <v>2384397340.7582812</v>
      </c>
      <c r="F33" s="10">
        <f t="shared" si="4"/>
        <v>3246334845.8612127</v>
      </c>
      <c r="G33" s="10">
        <f t="shared" si="4"/>
        <v>1130027110.5357084</v>
      </c>
      <c r="H33" s="12"/>
    </row>
    <row r="34" spans="1:8" x14ac:dyDescent="0.25">
      <c r="A34" s="12" t="s">
        <v>52</v>
      </c>
      <c r="B34" s="10">
        <f>B32/B10</f>
        <v>464517.54372147459</v>
      </c>
      <c r="C34" s="10">
        <f>C32/C10</f>
        <v>246368.41517713212</v>
      </c>
      <c r="D34" s="10">
        <f t="shared" ref="D34:E34" si="5">D32/D10</f>
        <v>252146.99127605557</v>
      </c>
      <c r="E34" s="10">
        <f t="shared" si="5"/>
        <v>820713.02215493098</v>
      </c>
      <c r="F34" s="10"/>
      <c r="G34" s="10"/>
      <c r="H34" s="12"/>
    </row>
    <row r="35" spans="1:8" x14ac:dyDescent="0.25">
      <c r="A35" s="12" t="s">
        <v>113</v>
      </c>
      <c r="B35" s="10">
        <f>B33/B12</f>
        <v>455177.9882017044</v>
      </c>
      <c r="C35" s="10">
        <f>C33/C12</f>
        <v>237659.06147887729</v>
      </c>
      <c r="D35" s="10">
        <f t="shared" ref="D35:E35" si="6">D33/D12</f>
        <v>244016.3087319542</v>
      </c>
      <c r="E35" s="10">
        <f t="shared" si="6"/>
        <v>830607.5269710687</v>
      </c>
      <c r="F35" s="10"/>
      <c r="G35" s="10"/>
      <c r="H35" s="12"/>
    </row>
    <row r="36" spans="1:8" x14ac:dyDescent="0.25">
      <c r="A36" s="12"/>
      <c r="B36" s="12"/>
      <c r="C36" s="12"/>
      <c r="D36" s="12"/>
      <c r="E36" s="12"/>
      <c r="F36" s="12"/>
      <c r="G36" s="12"/>
      <c r="H36" s="12"/>
    </row>
    <row r="37" spans="1:8" x14ac:dyDescent="0.25">
      <c r="A37" s="25" t="s">
        <v>14</v>
      </c>
      <c r="B37" s="12"/>
      <c r="C37" s="12"/>
      <c r="D37" s="12"/>
      <c r="E37" s="12"/>
      <c r="F37" s="12"/>
      <c r="G37" s="12"/>
      <c r="H37" s="12"/>
    </row>
    <row r="38" spans="1:8" x14ac:dyDescent="0.25">
      <c r="A38" s="12"/>
      <c r="B38" s="12"/>
      <c r="C38" s="12"/>
      <c r="D38" s="12"/>
      <c r="E38" s="12"/>
      <c r="F38" s="12"/>
      <c r="G38" s="12"/>
      <c r="H38" s="12"/>
    </row>
    <row r="39" spans="1:8" x14ac:dyDescent="0.25">
      <c r="A39" s="12" t="s">
        <v>15</v>
      </c>
      <c r="B39" s="12"/>
      <c r="C39" s="12"/>
      <c r="D39" s="12"/>
      <c r="E39" s="12"/>
      <c r="F39" s="12"/>
      <c r="G39" s="12"/>
      <c r="H39" s="12"/>
    </row>
    <row r="40" spans="1:8" x14ac:dyDescent="0.25">
      <c r="A40" s="12" t="s">
        <v>16</v>
      </c>
      <c r="B40" s="7">
        <f>((C40*C17+E40*E17)/(C17+E17))</f>
        <v>110.63640037611137</v>
      </c>
      <c r="C40" s="7">
        <f t="shared" ref="C40" si="7">(C11)/C29*100</f>
        <v>116.90468030008758</v>
      </c>
      <c r="D40" s="7" t="e">
        <f t="shared" ref="D40:F40" si="8">(D11)/D29*100</f>
        <v>#VALUE!</v>
      </c>
      <c r="E40" s="7">
        <f t="shared" si="8"/>
        <v>49.759923175416134</v>
      </c>
      <c r="F40" s="7" t="e">
        <f t="shared" si="8"/>
        <v>#DIV/0!</v>
      </c>
      <c r="G40" s="12"/>
      <c r="H40" s="12"/>
    </row>
    <row r="41" spans="1:8" x14ac:dyDescent="0.25">
      <c r="A41" s="12" t="s">
        <v>17</v>
      </c>
      <c r="B41" s="7">
        <f>((C41*C18+E41*E18)/(C18+E18))</f>
        <v>77.56706609143265</v>
      </c>
      <c r="C41" s="7">
        <f t="shared" ref="C41" si="9">(C12)/C29*100</f>
        <v>82.33007942250488</v>
      </c>
      <c r="D41" s="7" t="e">
        <f t="shared" ref="D41:F41" si="10">(D12)/D29*100</f>
        <v>#VALUE!</v>
      </c>
      <c r="E41" s="7">
        <f t="shared" si="10"/>
        <v>45.945369184805799</v>
      </c>
      <c r="F41" s="7" t="e">
        <f t="shared" si="10"/>
        <v>#DIV/0!</v>
      </c>
      <c r="G41" s="12"/>
      <c r="H41" s="12"/>
    </row>
    <row r="42" spans="1:8" x14ac:dyDescent="0.25">
      <c r="A42" s="12"/>
      <c r="B42" s="12"/>
      <c r="C42" s="12"/>
      <c r="D42" s="12"/>
      <c r="E42" s="12"/>
      <c r="F42" s="12"/>
      <c r="G42" s="12"/>
      <c r="H42" s="12"/>
    </row>
    <row r="43" spans="1:8" x14ac:dyDescent="0.25">
      <c r="A43" s="12" t="s">
        <v>18</v>
      </c>
      <c r="B43" s="12"/>
      <c r="C43" s="12"/>
      <c r="D43" s="12"/>
      <c r="E43" s="12"/>
      <c r="F43" s="12"/>
      <c r="G43" s="12"/>
      <c r="H43" s="12"/>
    </row>
    <row r="44" spans="1:8" x14ac:dyDescent="0.25">
      <c r="A44" s="12" t="s">
        <v>19</v>
      </c>
      <c r="B44" s="7">
        <f>B12/B11*100</f>
        <v>923.11568564382981</v>
      </c>
      <c r="C44" s="7">
        <f>(C12+D12)/C11*100</f>
        <v>98.471308300938901</v>
      </c>
      <c r="D44" s="7" t="e">
        <f>D12/D11*100</f>
        <v>#DIV/0!</v>
      </c>
      <c r="E44" s="7">
        <f>E12/E11*100</f>
        <v>92.334083842607484</v>
      </c>
      <c r="F44" s="7"/>
      <c r="G44" s="12"/>
      <c r="H44" s="12"/>
    </row>
    <row r="45" spans="1:8" x14ac:dyDescent="0.25">
      <c r="A45" s="12" t="s">
        <v>20</v>
      </c>
      <c r="B45" s="7">
        <f>B18/B17*100</f>
        <v>497.3461021671323</v>
      </c>
      <c r="C45" s="7">
        <f>(C18+D18)/C17*100</f>
        <v>86.763009072223227</v>
      </c>
      <c r="D45" s="7" t="e">
        <f>D18/D17*100</f>
        <v>#DIV/0!</v>
      </c>
      <c r="E45" s="7">
        <f>E18/E17*100</f>
        <v>90.777714170129826</v>
      </c>
      <c r="F45" s="7" t="e">
        <f>F18/F17*100</f>
        <v>#DIV/0!</v>
      </c>
      <c r="G45" s="7" t="e">
        <f>G18/G17*100</f>
        <v>#DIV/0!</v>
      </c>
      <c r="H45" s="12"/>
    </row>
    <row r="46" spans="1:8" x14ac:dyDescent="0.25">
      <c r="A46" s="12" t="s">
        <v>21</v>
      </c>
      <c r="B46" s="7">
        <f>AVERAGE(B44:B45)</f>
        <v>710.23089390548103</v>
      </c>
      <c r="C46" s="7">
        <f t="shared" ref="C46" si="11">AVERAGE(C44:C45)</f>
        <v>92.617158686581064</v>
      </c>
      <c r="D46" s="7" t="e">
        <f t="shared" ref="D46:E46" si="12">AVERAGE(D44:D45)</f>
        <v>#DIV/0!</v>
      </c>
      <c r="E46" s="7">
        <f t="shared" si="12"/>
        <v>91.555899006368662</v>
      </c>
      <c r="F46" s="7"/>
      <c r="G46" s="7"/>
      <c r="H46" s="12"/>
    </row>
    <row r="47" spans="1:8" x14ac:dyDescent="0.25">
      <c r="A47" s="12"/>
      <c r="B47" s="7"/>
      <c r="C47" s="7"/>
      <c r="D47" s="7"/>
      <c r="E47" s="7"/>
      <c r="F47" s="7"/>
      <c r="G47" s="7"/>
      <c r="H47" s="12"/>
    </row>
    <row r="48" spans="1:8" x14ac:dyDescent="0.25">
      <c r="A48" s="12" t="s">
        <v>22</v>
      </c>
      <c r="B48" s="12"/>
      <c r="C48" s="12"/>
      <c r="D48" s="12"/>
      <c r="E48" s="12"/>
      <c r="F48" s="12"/>
      <c r="G48" s="12"/>
      <c r="H48" s="12"/>
    </row>
    <row r="49" spans="1:8" x14ac:dyDescent="0.25">
      <c r="A49" s="12" t="s">
        <v>23</v>
      </c>
      <c r="B49" s="7" t="e">
        <f>B12/(B13*2)*100</f>
        <v>#DIV/0!</v>
      </c>
      <c r="C49" s="7" t="e">
        <f>(C12+D12)/(C13*2)*100</f>
        <v>#DIV/0!</v>
      </c>
      <c r="D49" s="7" t="e">
        <f t="shared" ref="D49:E49" si="13">D12/(D13*2)*100</f>
        <v>#DIV/0!</v>
      </c>
      <c r="E49" s="7" t="e">
        <f t="shared" si="13"/>
        <v>#DIV/0!</v>
      </c>
      <c r="F49" s="7"/>
      <c r="G49" s="7"/>
      <c r="H49" s="12"/>
    </row>
    <row r="50" spans="1:8" x14ac:dyDescent="0.25">
      <c r="A50" s="12" t="s">
        <v>24</v>
      </c>
      <c r="B50" s="7">
        <f>B18/B19*100</f>
        <v>248.67305108356615</v>
      </c>
      <c r="C50" s="7">
        <f>(C18+D18)/C19*100</f>
        <v>43.381504536111613</v>
      </c>
      <c r="D50" s="7" t="e">
        <f>D18/D19*100</f>
        <v>#DIV/0!</v>
      </c>
      <c r="E50" s="7">
        <f>E18/E19*100</f>
        <v>45.388857085064913</v>
      </c>
      <c r="F50" s="7" t="e">
        <f>F18/F19*100</f>
        <v>#DIV/0!</v>
      </c>
      <c r="G50" s="7" t="e">
        <f>G18/G19*100</f>
        <v>#DIV/0!</v>
      </c>
      <c r="H50" s="12"/>
    </row>
    <row r="51" spans="1:8" x14ac:dyDescent="0.25">
      <c r="A51" s="12" t="s">
        <v>25</v>
      </c>
      <c r="B51" s="7" t="e">
        <f>(B49+B50)/2</f>
        <v>#DIV/0!</v>
      </c>
      <c r="C51" s="7" t="e">
        <f t="shared" ref="C51" si="14">(C49+C50)/2</f>
        <v>#DIV/0!</v>
      </c>
      <c r="D51" s="7" t="e">
        <f t="shared" ref="D51:E51" si="15">(D49+D50)/2</f>
        <v>#DIV/0!</v>
      </c>
      <c r="E51" s="7" t="e">
        <f t="shared" si="15"/>
        <v>#DIV/0!</v>
      </c>
      <c r="F51" s="7"/>
      <c r="G51" s="7"/>
      <c r="H51" s="12"/>
    </row>
    <row r="52" spans="1:8" x14ac:dyDescent="0.25">
      <c r="A52" s="12"/>
      <c r="B52" s="12"/>
      <c r="C52" s="12"/>
      <c r="D52" s="12"/>
      <c r="E52" s="12"/>
      <c r="F52" s="12"/>
      <c r="G52" s="12"/>
      <c r="H52" s="12"/>
    </row>
    <row r="53" spans="1:8" x14ac:dyDescent="0.25">
      <c r="A53" s="12" t="s">
        <v>57</v>
      </c>
      <c r="B53" s="12"/>
      <c r="C53" s="12"/>
      <c r="D53" s="12"/>
      <c r="E53" s="12"/>
      <c r="F53" s="12"/>
      <c r="G53" s="12"/>
      <c r="H53" s="12"/>
    </row>
    <row r="54" spans="1:8" x14ac:dyDescent="0.25">
      <c r="A54" s="12" t="s">
        <v>26</v>
      </c>
      <c r="B54" s="7">
        <f>(B20/B18)*100</f>
        <v>100</v>
      </c>
      <c r="C54" s="7">
        <f t="shared" ref="C54" si="16">(C20/C18)*100</f>
        <v>100</v>
      </c>
      <c r="D54" s="7">
        <f t="shared" ref="D54:F54" si="17">(D20/D18)*100</f>
        <v>100</v>
      </c>
      <c r="E54" s="7">
        <f t="shared" si="17"/>
        <v>100</v>
      </c>
      <c r="F54" s="7">
        <f t="shared" si="17"/>
        <v>100</v>
      </c>
      <c r="G54" s="7"/>
      <c r="H54" s="12"/>
    </row>
    <row r="55" spans="1:8" x14ac:dyDescent="0.25">
      <c r="A55" s="12"/>
      <c r="B55" s="12"/>
      <c r="C55" s="12"/>
      <c r="D55" s="12"/>
      <c r="E55" s="12"/>
      <c r="F55" s="12"/>
      <c r="G55" s="12"/>
      <c r="H55" s="12"/>
    </row>
    <row r="56" spans="1:8" x14ac:dyDescent="0.25">
      <c r="A56" s="12" t="s">
        <v>27</v>
      </c>
      <c r="B56" s="12"/>
      <c r="C56" s="12"/>
      <c r="D56" s="12"/>
      <c r="E56" s="12"/>
      <c r="F56" s="12"/>
      <c r="G56" s="12"/>
      <c r="H56" s="12"/>
    </row>
    <row r="57" spans="1:8" x14ac:dyDescent="0.25">
      <c r="A57" s="12" t="s">
        <v>28</v>
      </c>
      <c r="B57" s="7">
        <f>((B12/B10)-1)*100</f>
        <v>3.0249727776381796</v>
      </c>
      <c r="C57" s="7">
        <f>(((C12+D12)/C10)-1)*100</f>
        <v>43.905180530430464</v>
      </c>
      <c r="D57" s="7">
        <f>((D12/D10)-1)*100</f>
        <v>2.4492790988239532</v>
      </c>
      <c r="E57" s="7">
        <f>((E12/E10)-1)*100</f>
        <v>8.5113085113085027</v>
      </c>
      <c r="F57" s="7"/>
      <c r="G57" s="7"/>
      <c r="H57" s="12"/>
    </row>
    <row r="58" spans="1:8" x14ac:dyDescent="0.25">
      <c r="A58" s="12" t="s">
        <v>29</v>
      </c>
      <c r="B58" s="7">
        <f>((B33/B32)-1)*100</f>
        <v>0.95356026333170973</v>
      </c>
      <c r="C58" s="7">
        <f>(((C33+D33)/C32)-1)*100</f>
        <v>39.875611579854464</v>
      </c>
      <c r="D58" s="7">
        <f t="shared" ref="D58:G58" si="18">((D33/D32)-1)*100</f>
        <v>-0.85428030915888353</v>
      </c>
      <c r="E58" s="7">
        <f t="shared" si="18"/>
        <v>9.8195193422411684</v>
      </c>
      <c r="F58" s="7">
        <f t="shared" si="18"/>
        <v>-0.8802263848789238</v>
      </c>
      <c r="G58" s="7">
        <f t="shared" si="18"/>
        <v>-0.58715804091030721</v>
      </c>
      <c r="H58" s="12"/>
    </row>
    <row r="59" spans="1:8" x14ac:dyDescent="0.25">
      <c r="A59" s="12" t="s">
        <v>30</v>
      </c>
      <c r="B59" s="7">
        <f>((B35/B34)-1)*100</f>
        <v>-2.0105926344452962</v>
      </c>
      <c r="C59" s="7">
        <f>(((C35+D35)/C34)-1)*100</f>
        <v>95.5101955193892</v>
      </c>
      <c r="D59" s="7">
        <f t="shared" ref="D59:E59" si="19">((D35/D34)-1)*100</f>
        <v>-3.224580433402735</v>
      </c>
      <c r="E59" s="7">
        <f t="shared" si="19"/>
        <v>1.2055986135272923</v>
      </c>
      <c r="F59" s="7"/>
      <c r="G59" s="7"/>
      <c r="H59" s="12"/>
    </row>
    <row r="60" spans="1:8" x14ac:dyDescent="0.25">
      <c r="A60" s="12"/>
      <c r="B60" s="7"/>
      <c r="C60" s="7"/>
      <c r="D60" s="7"/>
      <c r="E60" s="7"/>
      <c r="F60" s="7"/>
      <c r="G60" s="7"/>
      <c r="H60" s="12"/>
    </row>
    <row r="61" spans="1:8" x14ac:dyDescent="0.25">
      <c r="A61" s="12" t="s">
        <v>31</v>
      </c>
      <c r="B61" s="12"/>
      <c r="C61" s="12"/>
      <c r="D61" s="12"/>
      <c r="E61" s="12"/>
      <c r="F61" s="12"/>
      <c r="G61" s="12"/>
      <c r="H61" s="12"/>
    </row>
    <row r="62" spans="1:8" x14ac:dyDescent="0.25">
      <c r="A62" s="12" t="s">
        <v>58</v>
      </c>
      <c r="B62" s="10">
        <f>B17/(B11*6)</f>
        <v>213886</v>
      </c>
      <c r="C62" s="10">
        <f t="shared" ref="C62" si="20">C17/(C11*6)</f>
        <v>70125</v>
      </c>
      <c r="D62" s="10" t="e">
        <f t="shared" ref="D62:E62" si="21">D17/(D11*6)</f>
        <v>#DIV/0!</v>
      </c>
      <c r="E62" s="10">
        <f t="shared" si="21"/>
        <v>213886</v>
      </c>
      <c r="F62" s="10"/>
      <c r="G62" s="10"/>
      <c r="H62" s="12"/>
    </row>
    <row r="63" spans="1:8" x14ac:dyDescent="0.25">
      <c r="A63" s="12" t="s">
        <v>59</v>
      </c>
      <c r="B63" s="10">
        <f>B18/(B12*6)</f>
        <v>115235.14339801023</v>
      </c>
      <c r="C63" s="10">
        <f>(C18+D18)/(C12*6)</f>
        <v>86393.455325343122</v>
      </c>
      <c r="D63" s="10">
        <f t="shared" ref="D63:E63" si="22">D18/(D12*6)</f>
        <v>61776.393096845684</v>
      </c>
      <c r="E63" s="10">
        <f t="shared" si="22"/>
        <v>210280.76919124479</v>
      </c>
      <c r="F63" s="10"/>
      <c r="G63" s="10"/>
      <c r="H63" s="12"/>
    </row>
    <row r="64" spans="1:8" x14ac:dyDescent="0.25">
      <c r="A64" s="12" t="s">
        <v>32</v>
      </c>
      <c r="B64" s="7">
        <f>(B62/B63)*B46</f>
        <v>1318.2475457959183</v>
      </c>
      <c r="C64" s="7">
        <f t="shared" ref="C64" si="23">(C62/C63)*C46</f>
        <v>75.176739122636803</v>
      </c>
      <c r="D64" s="7" t="e">
        <f t="shared" ref="D64:E64" si="24">(D62/D63)*D46</f>
        <v>#DIV/0!</v>
      </c>
      <c r="E64" s="7">
        <f t="shared" si="24"/>
        <v>93.125610535818325</v>
      </c>
      <c r="F64" s="7"/>
      <c r="G64" s="7"/>
      <c r="H64" s="12"/>
    </row>
    <row r="65" spans="1:8" s="12" customFormat="1" x14ac:dyDescent="0.25">
      <c r="A65" s="7" t="s">
        <v>65</v>
      </c>
      <c r="B65" s="10">
        <f>B17/B11</f>
        <v>1283316</v>
      </c>
      <c r="C65" s="10">
        <f t="shared" ref="C65" si="25">C17/C11</f>
        <v>420750</v>
      </c>
      <c r="D65" s="10" t="e">
        <f t="shared" ref="D65:E66" si="26">D17/D11</f>
        <v>#DIV/0!</v>
      </c>
      <c r="E65" s="10">
        <f t="shared" si="26"/>
        <v>1283316</v>
      </c>
      <c r="F65" s="7"/>
      <c r="G65" s="7"/>
    </row>
    <row r="66" spans="1:8" s="12" customFormat="1" x14ac:dyDescent="0.25">
      <c r="A66" s="7" t="s">
        <v>66</v>
      </c>
      <c r="B66" s="10">
        <f>B18/B12</f>
        <v>691410.86038806138</v>
      </c>
      <c r="C66" s="10">
        <f>(C18+D18)/C12</f>
        <v>518360.73195205868</v>
      </c>
      <c r="D66" s="10">
        <f t="shared" si="26"/>
        <v>370658.35858107411</v>
      </c>
      <c r="E66" s="10">
        <f t="shared" si="26"/>
        <v>1261684.6151474689</v>
      </c>
      <c r="F66" s="7"/>
      <c r="G66" s="7"/>
    </row>
    <row r="67" spans="1:8" x14ac:dyDescent="0.25">
      <c r="A67" s="12"/>
      <c r="B67" s="7"/>
      <c r="C67" s="7"/>
      <c r="D67" s="7"/>
      <c r="E67" s="7"/>
      <c r="F67" s="7"/>
      <c r="G67" s="7"/>
      <c r="H67" s="12"/>
    </row>
    <row r="68" spans="1:8" x14ac:dyDescent="0.25">
      <c r="A68" s="12" t="s">
        <v>33</v>
      </c>
      <c r="B68" s="7"/>
      <c r="C68" s="7"/>
      <c r="D68" s="7"/>
      <c r="E68" s="7"/>
      <c r="F68" s="7"/>
      <c r="G68" s="7"/>
      <c r="H68" s="12"/>
    </row>
    <row r="69" spans="1:8" x14ac:dyDescent="0.25">
      <c r="A69" s="12" t="s">
        <v>34</v>
      </c>
      <c r="B69" s="7">
        <f>(B24/B23)*100</f>
        <v>1354.1038689249292</v>
      </c>
      <c r="C69" s="7"/>
      <c r="D69" s="7"/>
      <c r="E69" s="7"/>
      <c r="F69" s="7"/>
      <c r="G69" s="7"/>
      <c r="H69" s="12"/>
    </row>
    <row r="70" spans="1:8" x14ac:dyDescent="0.25">
      <c r="A70" s="12" t="s">
        <v>35</v>
      </c>
      <c r="B70" s="7">
        <f>(B18/B24)*100</f>
        <v>36.728800026396272</v>
      </c>
      <c r="C70" s="7"/>
      <c r="D70" s="7"/>
      <c r="E70" s="7"/>
      <c r="F70" s="7"/>
      <c r="G70" s="7"/>
      <c r="H70" s="12"/>
    </row>
    <row r="71" spans="1:8" ht="15.75" thickBot="1" x14ac:dyDescent="0.3">
      <c r="A71" s="26"/>
      <c r="B71" s="26"/>
      <c r="C71" s="26"/>
      <c r="D71" s="26"/>
      <c r="E71" s="26"/>
      <c r="F71" s="26"/>
      <c r="G71" s="26"/>
      <c r="H71" s="12"/>
    </row>
    <row r="72" spans="1:8" ht="15.75" thickTop="1" x14ac:dyDescent="0.25">
      <c r="A72" s="12"/>
      <c r="B72" s="12"/>
      <c r="C72" s="12"/>
      <c r="D72" s="12"/>
      <c r="E72" s="12"/>
      <c r="F72" s="12"/>
      <c r="G72" s="12"/>
      <c r="H72" s="12"/>
    </row>
    <row r="73" spans="1:8" x14ac:dyDescent="0.25">
      <c r="A73" s="12" t="s">
        <v>40</v>
      </c>
      <c r="B73" s="12"/>
      <c r="C73" s="12"/>
      <c r="D73" s="12"/>
      <c r="E73" s="12"/>
      <c r="F73" s="12"/>
      <c r="G73" s="12"/>
      <c r="H73" s="12"/>
    </row>
    <row r="74" spans="1:8" x14ac:dyDescent="0.25">
      <c r="A74" s="12" t="s">
        <v>121</v>
      </c>
      <c r="B74" s="12"/>
      <c r="C74" s="12"/>
      <c r="D74" s="12"/>
      <c r="E74" s="12"/>
      <c r="F74" s="12"/>
      <c r="G74" s="12"/>
      <c r="H74" s="12"/>
    </row>
    <row r="75" spans="1:8" x14ac:dyDescent="0.25">
      <c r="A75" s="12" t="s">
        <v>84</v>
      </c>
      <c r="B75" s="27"/>
      <c r="C75" s="27"/>
      <c r="D75" s="27"/>
      <c r="E75" s="27"/>
      <c r="F75" s="12"/>
      <c r="G75" s="12"/>
      <c r="H75" s="12"/>
    </row>
    <row r="76" spans="1:8" x14ac:dyDescent="0.25">
      <c r="A76" s="12" t="s">
        <v>85</v>
      </c>
      <c r="B76" s="12"/>
      <c r="C76" s="12"/>
      <c r="D76" s="12"/>
      <c r="E76" s="12"/>
      <c r="F76" s="12"/>
      <c r="G76" s="12"/>
      <c r="H76" s="12"/>
    </row>
    <row r="77" spans="1:8" x14ac:dyDescent="0.25">
      <c r="A77" s="12"/>
      <c r="B77" s="12"/>
      <c r="C77" s="12"/>
      <c r="D77" s="12"/>
      <c r="E77" s="12"/>
      <c r="F77" s="12"/>
      <c r="G77" s="12"/>
      <c r="H77" s="12"/>
    </row>
    <row r="78" spans="1:8" x14ac:dyDescent="0.25">
      <c r="A78" s="12" t="s">
        <v>73</v>
      </c>
      <c r="B78" s="12"/>
      <c r="C78" s="12"/>
      <c r="D78" s="12"/>
      <c r="E78" s="12"/>
      <c r="F78" s="12"/>
      <c r="G78" s="12"/>
      <c r="H78" s="12"/>
    </row>
    <row r="79" spans="1:8" x14ac:dyDescent="0.25">
      <c r="A79" s="12" t="s">
        <v>75</v>
      </c>
      <c r="B79" s="12"/>
      <c r="C79" s="12"/>
      <c r="D79" s="12"/>
      <c r="E79" s="12"/>
      <c r="F79" s="12"/>
      <c r="G79" s="12"/>
      <c r="H79" s="12"/>
    </row>
    <row r="80" spans="1:8" x14ac:dyDescent="0.25">
      <c r="A80" s="12" t="s">
        <v>74</v>
      </c>
      <c r="B80" s="12"/>
      <c r="C80" s="12"/>
      <c r="D80" s="12"/>
      <c r="E80" s="12"/>
      <c r="F80" s="12"/>
      <c r="G80" s="12"/>
      <c r="H80" s="12"/>
    </row>
    <row r="81" spans="1:8" x14ac:dyDescent="0.25">
      <c r="A81" s="12"/>
      <c r="B81" s="12"/>
      <c r="C81" s="12"/>
      <c r="D81" s="12"/>
      <c r="E81" s="12"/>
      <c r="F81" s="12"/>
      <c r="G81" s="12"/>
      <c r="H81" s="12"/>
    </row>
    <row r="82" spans="1:8" x14ac:dyDescent="0.25">
      <c r="A82" s="12"/>
      <c r="B82" s="12"/>
      <c r="C82" s="12"/>
      <c r="D82" s="12"/>
      <c r="E82" s="12"/>
      <c r="F82" s="12"/>
      <c r="G82" s="12"/>
      <c r="H82" s="12"/>
    </row>
  </sheetData>
  <mergeCells count="6">
    <mergeCell ref="A2:G2"/>
    <mergeCell ref="A4:A5"/>
    <mergeCell ref="B4:B5"/>
    <mergeCell ref="F4:F5"/>
    <mergeCell ref="G4:G5"/>
    <mergeCell ref="C5:D5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4"/>
  <sheetViews>
    <sheetView topLeftCell="A70" workbookViewId="0">
      <selection activeCell="D79" sqref="D79"/>
    </sheetView>
  </sheetViews>
  <sheetFormatPr baseColWidth="10" defaultRowHeight="15" x14ac:dyDescent="0.25"/>
  <cols>
    <col min="1" max="1" width="55.140625" style="1" customWidth="1"/>
    <col min="2" max="3" width="16.140625" style="1" customWidth="1"/>
    <col min="4" max="4" width="17" style="1" bestFit="1" customWidth="1"/>
    <col min="5" max="5" width="16.42578125" style="1" bestFit="1" customWidth="1"/>
    <col min="6" max="6" width="14.7109375" style="1" bestFit="1" customWidth="1"/>
    <col min="7" max="7" width="17.5703125" style="1" bestFit="1" customWidth="1"/>
    <col min="8" max="16384" width="11.42578125" style="1"/>
  </cols>
  <sheetData>
    <row r="1" spans="1:7" x14ac:dyDescent="0.25">
      <c r="A1" s="12"/>
      <c r="B1" s="12"/>
      <c r="C1" s="12"/>
      <c r="D1" s="12"/>
      <c r="E1" s="12"/>
      <c r="F1" s="12"/>
      <c r="G1" s="12"/>
    </row>
    <row r="2" spans="1:7" ht="15.75" x14ac:dyDescent="0.25">
      <c r="A2" s="28" t="s">
        <v>114</v>
      </c>
      <c r="B2" s="28"/>
      <c r="C2" s="28"/>
      <c r="D2" s="28"/>
      <c r="E2" s="28"/>
      <c r="F2" s="28"/>
      <c r="G2" s="28"/>
    </row>
    <row r="3" spans="1:7" x14ac:dyDescent="0.25">
      <c r="A3" s="12"/>
      <c r="B3" s="12"/>
      <c r="C3" s="12"/>
      <c r="D3" s="12"/>
      <c r="E3" s="12"/>
      <c r="F3" s="12"/>
      <c r="G3" s="12"/>
    </row>
    <row r="4" spans="1:7" x14ac:dyDescent="0.25">
      <c r="A4" s="29" t="s">
        <v>0</v>
      </c>
      <c r="B4" s="29" t="s">
        <v>62</v>
      </c>
      <c r="C4" s="30"/>
      <c r="D4" s="31" t="s">
        <v>1</v>
      </c>
      <c r="E4" s="31"/>
      <c r="F4" s="29" t="s">
        <v>2</v>
      </c>
      <c r="G4" s="29" t="s">
        <v>3</v>
      </c>
    </row>
    <row r="5" spans="1:7" ht="15.75" thickBot="1" x14ac:dyDescent="0.3">
      <c r="A5" s="32"/>
      <c r="B5" s="32"/>
      <c r="C5" s="37" t="s">
        <v>63</v>
      </c>
      <c r="D5" s="37"/>
      <c r="E5" s="34" t="s">
        <v>64</v>
      </c>
      <c r="F5" s="32"/>
      <c r="G5" s="32"/>
    </row>
    <row r="6" spans="1:7" ht="15.75" thickTop="1" x14ac:dyDescent="0.25">
      <c r="A6" s="12"/>
      <c r="B6" s="12"/>
      <c r="C6" s="35" t="s">
        <v>122</v>
      </c>
      <c r="D6" s="35" t="s">
        <v>123</v>
      </c>
      <c r="E6" s="12"/>
      <c r="F6" s="12"/>
      <c r="G6" s="12"/>
    </row>
    <row r="7" spans="1:7" x14ac:dyDescent="0.25">
      <c r="A7" s="25" t="s">
        <v>4</v>
      </c>
      <c r="B7" s="12"/>
      <c r="C7" s="12"/>
      <c r="D7" s="12"/>
      <c r="E7" s="12"/>
      <c r="F7" s="12"/>
      <c r="G7" s="12"/>
    </row>
    <row r="8" spans="1:7" x14ac:dyDescent="0.25">
      <c r="A8" s="12"/>
      <c r="B8" s="12"/>
      <c r="C8" s="12"/>
      <c r="D8" s="12"/>
      <c r="E8" s="12"/>
      <c r="F8" s="12"/>
      <c r="G8" s="12"/>
    </row>
    <row r="9" spans="1:7" x14ac:dyDescent="0.25">
      <c r="A9" s="12" t="s">
        <v>71</v>
      </c>
      <c r="B9" s="12"/>
      <c r="C9" s="12"/>
      <c r="D9" s="12"/>
      <c r="E9" s="12"/>
      <c r="F9" s="12"/>
      <c r="G9" s="12"/>
    </row>
    <row r="10" spans="1:7" x14ac:dyDescent="0.25">
      <c r="A10" s="23" t="s">
        <v>41</v>
      </c>
      <c r="B10" s="10">
        <f>SUM(D10:H10)</f>
        <v>65106.888888888891</v>
      </c>
      <c r="C10" s="10">
        <f>+'I Trimestre'!C10+'II Trimestre'!C10+'III Trimestre'!C10/3</f>
        <v>147241.77777777778</v>
      </c>
      <c r="D10" s="10">
        <f>+'I Trimestre'!D10+'II Trimestre'!D10+'III Trimestre'!D10/3</f>
        <v>58903.777777777781</v>
      </c>
      <c r="E10" s="10">
        <f>+'I Trimestre'!E10+'II Trimestre'!E10+'III Trimestre'!E10/3</f>
        <v>6203.1111111111113</v>
      </c>
      <c r="F10" s="10">
        <f>+'I Trimestre'!F10+'II Trimestre'!F10+'III Trimestre'!F10/3</f>
        <v>0</v>
      </c>
      <c r="G10" s="10">
        <f>+'I Trimestre'!G10+'II Trimestre'!G10+'III Trimestre'!G10/3</f>
        <v>0</v>
      </c>
    </row>
    <row r="11" spans="1:7" x14ac:dyDescent="0.25">
      <c r="A11" s="23" t="s">
        <v>94</v>
      </c>
      <c r="B11" s="10">
        <f t="shared" ref="B11:B13" si="0">SUM(D11:H11)</f>
        <v>7254.333333333333</v>
      </c>
      <c r="C11" s="10">
        <f>+'I Trimestre'!C11+'II Trimestre'!C11+'III Trimestre'!C11/3</f>
        <v>214886</v>
      </c>
      <c r="D11" s="10">
        <f>+'I Trimestre'!D11+'II Trimestre'!D11+'III Trimestre'!D11/3</f>
        <v>0</v>
      </c>
      <c r="E11" s="10">
        <f>+'I Trimestre'!E11+'II Trimestre'!E11+'III Trimestre'!E11/3</f>
        <v>7254.333333333333</v>
      </c>
      <c r="F11" s="10">
        <f>+'I Trimestre'!F11+'II Trimestre'!F11+'III Trimestre'!F11/3</f>
        <v>0</v>
      </c>
      <c r="G11" s="10">
        <f>+'I Trimestre'!G11+'II Trimestre'!G11+'III Trimestre'!G11/3</f>
        <v>0</v>
      </c>
    </row>
    <row r="12" spans="1:7" x14ac:dyDescent="0.25">
      <c r="A12" s="23" t="s">
        <v>95</v>
      </c>
      <c r="B12" s="10">
        <f t="shared" si="0"/>
        <v>67093.333333333343</v>
      </c>
      <c r="C12" s="10">
        <f>+'I Trimestre'!C12+'II Trimestre'!C12+'III Trimestre'!C12/3</f>
        <v>151609.44444444444</v>
      </c>
      <c r="D12" s="10">
        <f>+'I Trimestre'!D12+'II Trimestre'!D12+'III Trimestre'!D12/3</f>
        <v>60359.333333333336</v>
      </c>
      <c r="E12" s="10">
        <f>+'I Trimestre'!E12+'II Trimestre'!E12+'III Trimestre'!E12/3</f>
        <v>6734</v>
      </c>
      <c r="F12" s="10">
        <f>+'I Trimestre'!F12+'II Trimestre'!F12+'III Trimestre'!F12/3</f>
        <v>0</v>
      </c>
      <c r="G12" s="10">
        <f>+'I Trimestre'!G12+'II Trimestre'!G12+'III Trimestre'!G12/3</f>
        <v>0</v>
      </c>
    </row>
    <row r="13" spans="1:7" x14ac:dyDescent="0.25">
      <c r="A13" s="23" t="s">
        <v>79</v>
      </c>
      <c r="B13" s="10">
        <f t="shared" si="0"/>
        <v>0</v>
      </c>
      <c r="C13" s="10"/>
      <c r="D13" s="10"/>
      <c r="E13" s="10"/>
      <c r="F13" s="10"/>
      <c r="G13" s="12"/>
    </row>
    <row r="14" spans="1:7" x14ac:dyDescent="0.25">
      <c r="A14" s="12"/>
      <c r="B14" s="12"/>
      <c r="C14" s="12"/>
      <c r="D14" s="12"/>
      <c r="E14" s="12"/>
      <c r="F14" s="12"/>
      <c r="G14" s="12"/>
    </row>
    <row r="15" spans="1:7" x14ac:dyDescent="0.25">
      <c r="A15" s="22" t="s">
        <v>6</v>
      </c>
      <c r="B15" s="12"/>
      <c r="C15" s="12"/>
      <c r="D15" s="12"/>
      <c r="E15" s="12"/>
      <c r="F15" s="12"/>
      <c r="G15" s="12"/>
    </row>
    <row r="16" spans="1:7" x14ac:dyDescent="0.25">
      <c r="A16" s="23" t="s">
        <v>41</v>
      </c>
      <c r="B16" s="10">
        <f>SUM(D16:H16)</f>
        <v>29335736202.155437</v>
      </c>
      <c r="C16" s="10">
        <f>+'I Trimestre'!C16+'II Trimestre'!C16+'III Trimestre'!C16</f>
        <v>36201179159.044556</v>
      </c>
      <c r="D16" s="10">
        <f>+'I Trimestre'!D16+'II Trimestre'!D16+'III Trimestre'!D16</f>
        <v>14480809863.75544</v>
      </c>
      <c r="E16" s="10">
        <f>+'I Trimestre'!E16+'II Trimestre'!E16+'III Trimestre'!E16</f>
        <v>4819962577.1000004</v>
      </c>
      <c r="F16" s="10">
        <f>+'I Trimestre'!F16+'II Trimestre'!F16+'III Trimestre'!F16</f>
        <v>7555913761.3000002</v>
      </c>
      <c r="G16" s="10">
        <f>+'I Trimestre'!G16+'II Trimestre'!G16+'III Trimestre'!G16</f>
        <v>2479050000</v>
      </c>
    </row>
    <row r="17" spans="1:7" x14ac:dyDescent="0.25">
      <c r="A17" s="23" t="s">
        <v>94</v>
      </c>
      <c r="B17" s="10">
        <f t="shared" ref="B17:B20" si="1">SUM(D17:H17)</f>
        <v>5984744166</v>
      </c>
      <c r="C17" s="10">
        <f>+'I Trimestre'!C17+'II Trimestre'!C17+'III Trimestre'!C17</f>
        <v>58122825750</v>
      </c>
      <c r="D17" s="10">
        <f>+'I Trimestre'!D17+'II Trimestre'!D17+'III Trimestre'!D17</f>
        <v>0</v>
      </c>
      <c r="E17" s="10">
        <f>+'I Trimestre'!E17+'II Trimestre'!E17+'III Trimestre'!E17</f>
        <v>5984744166</v>
      </c>
      <c r="F17" s="10">
        <f>+'I Trimestre'!F17+'II Trimestre'!F17+'III Trimestre'!F17</f>
        <v>0</v>
      </c>
      <c r="G17" s="10">
        <f>+'I Trimestre'!G17+'II Trimestre'!G17+'III Trimestre'!G17</f>
        <v>0</v>
      </c>
    </row>
    <row r="18" spans="1:7" x14ac:dyDescent="0.25">
      <c r="A18" s="23" t="s">
        <v>95</v>
      </c>
      <c r="B18" s="10">
        <f t="shared" si="1"/>
        <v>30908796675.578491</v>
      </c>
      <c r="C18" s="10">
        <f>+'I Trimestre'!C18+'II Trimestre'!C18+'III Trimestre'!C18</f>
        <v>37571700005.281509</v>
      </c>
      <c r="D18" s="10">
        <f>+'I Trimestre'!D18+'II Trimestre'!D18+'III Trimestre'!D18</f>
        <v>14948122893.918489</v>
      </c>
      <c r="E18" s="10">
        <f>+'I Trimestre'!E18+'II Trimestre'!E18+'III Trimestre'!E18</f>
        <v>5549982176.8999996</v>
      </c>
      <c r="F18" s="10">
        <f>+'I Trimestre'!F18+'II Trimestre'!F18+'III Trimestre'!F18</f>
        <v>7835941604.7199993</v>
      </c>
      <c r="G18" s="10">
        <f>+'I Trimestre'!G18+'II Trimestre'!G18+'III Trimestre'!G18</f>
        <v>2574750000.04</v>
      </c>
    </row>
    <row r="19" spans="1:7" x14ac:dyDescent="0.25">
      <c r="A19" s="23" t="s">
        <v>79</v>
      </c>
      <c r="B19" s="10">
        <f t="shared" si="1"/>
        <v>7979658888</v>
      </c>
      <c r="C19" s="10">
        <f>+'III Trimestre'!C19</f>
        <v>77497101000</v>
      </c>
      <c r="D19" s="10">
        <f>+'III Trimestre'!D19</f>
        <v>0</v>
      </c>
      <c r="E19" s="10">
        <f>+'III Trimestre'!E19</f>
        <v>7979658888</v>
      </c>
      <c r="F19" s="10">
        <f>+'III Trimestre'!F19</f>
        <v>0</v>
      </c>
      <c r="G19" s="10">
        <f>+'III Trimestre'!G19</f>
        <v>0</v>
      </c>
    </row>
    <row r="20" spans="1:7" x14ac:dyDescent="0.25">
      <c r="A20" s="23" t="s">
        <v>96</v>
      </c>
      <c r="B20" s="10">
        <f t="shared" si="1"/>
        <v>30908796675.578491</v>
      </c>
      <c r="C20" s="10">
        <f>+C18</f>
        <v>37571700005.281509</v>
      </c>
      <c r="D20" s="10">
        <f>+D18</f>
        <v>14948122893.918489</v>
      </c>
      <c r="E20" s="10">
        <f t="shared" ref="E20:G20" si="2">+E18</f>
        <v>5549982176.8999996</v>
      </c>
      <c r="F20" s="10">
        <f t="shared" si="2"/>
        <v>7835941604.7199993</v>
      </c>
      <c r="G20" s="10">
        <f t="shared" si="2"/>
        <v>2574750000.04</v>
      </c>
    </row>
    <row r="21" spans="1:7" x14ac:dyDescent="0.25">
      <c r="A21" s="12"/>
      <c r="B21" s="10"/>
      <c r="C21" s="10"/>
      <c r="D21" s="10"/>
      <c r="E21" s="10"/>
      <c r="F21" s="10"/>
      <c r="G21" s="12"/>
    </row>
    <row r="22" spans="1:7" x14ac:dyDescent="0.25">
      <c r="A22" s="22" t="s">
        <v>7</v>
      </c>
      <c r="B22" s="10"/>
      <c r="C22" s="10"/>
      <c r="D22" s="10"/>
      <c r="E22" s="10"/>
      <c r="F22" s="10"/>
      <c r="G22" s="10"/>
    </row>
    <row r="23" spans="1:7" x14ac:dyDescent="0.25">
      <c r="A23" s="23" t="s">
        <v>94</v>
      </c>
      <c r="B23" s="10">
        <f>B17</f>
        <v>5984744166</v>
      </c>
      <c r="C23" s="10"/>
      <c r="D23" s="10"/>
      <c r="E23" s="10"/>
      <c r="F23" s="10"/>
      <c r="G23" s="10"/>
    </row>
    <row r="24" spans="1:7" x14ac:dyDescent="0.25">
      <c r="A24" s="23" t="s">
        <v>95</v>
      </c>
      <c r="B24" s="10">
        <f>+'I Trimestre'!B24+'II Trimestre'!B24+'III Trimestre'!B24</f>
        <v>75591946680.819992</v>
      </c>
      <c r="C24" s="10"/>
      <c r="D24" s="10"/>
      <c r="E24" s="10"/>
      <c r="F24" s="10"/>
      <c r="G24" s="10"/>
    </row>
    <row r="25" spans="1:7" x14ac:dyDescent="0.25">
      <c r="A25" s="12"/>
      <c r="B25" s="12"/>
      <c r="C25" s="12"/>
      <c r="D25" s="12"/>
      <c r="E25" s="12"/>
      <c r="F25" s="12"/>
      <c r="G25" s="12"/>
    </row>
    <row r="26" spans="1:7" x14ac:dyDescent="0.25">
      <c r="A26" s="12" t="s">
        <v>8</v>
      </c>
      <c r="B26" s="12"/>
      <c r="C26" s="12"/>
      <c r="D26" s="12"/>
      <c r="E26" s="12"/>
      <c r="F26" s="12"/>
      <c r="G26" s="12"/>
    </row>
    <row r="27" spans="1:7" x14ac:dyDescent="0.25">
      <c r="A27" s="23" t="s">
        <v>42</v>
      </c>
      <c r="B27" s="24">
        <v>1.4617491794222224</v>
      </c>
      <c r="C27" s="24">
        <v>1.4617491794222224</v>
      </c>
      <c r="D27" s="24">
        <v>1.4617491794222224</v>
      </c>
      <c r="E27" s="24">
        <v>1.4617491794222224</v>
      </c>
      <c r="F27" s="24">
        <v>1.4617491794222224</v>
      </c>
      <c r="G27" s="24">
        <v>1.4617491794222224</v>
      </c>
    </row>
    <row r="28" spans="1:7" x14ac:dyDescent="0.25">
      <c r="A28" s="23" t="s">
        <v>97</v>
      </c>
      <c r="B28" s="24">
        <v>1.5258720344444443</v>
      </c>
      <c r="C28" s="24">
        <v>1.5258720344444443</v>
      </c>
      <c r="D28" s="24">
        <v>1.5258720344444443</v>
      </c>
      <c r="E28" s="24">
        <v>1.5258720344444443</v>
      </c>
      <c r="F28" s="24">
        <v>1.5258720344444443</v>
      </c>
      <c r="G28" s="24">
        <v>1.5258720344444443</v>
      </c>
    </row>
    <row r="29" spans="1:7" x14ac:dyDescent="0.25">
      <c r="A29" s="23" t="s">
        <v>10</v>
      </c>
      <c r="B29" s="11">
        <f>SUM(D29:E29)</f>
        <v>6248</v>
      </c>
      <c r="C29" s="11">
        <v>78777</v>
      </c>
      <c r="D29" s="11" t="s">
        <v>124</v>
      </c>
      <c r="E29" s="11">
        <v>6248</v>
      </c>
      <c r="F29" s="11"/>
      <c r="G29" s="11"/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25" t="s">
        <v>11</v>
      </c>
      <c r="B31" s="12"/>
      <c r="C31" s="12"/>
      <c r="D31" s="12"/>
      <c r="E31" s="12"/>
      <c r="F31" s="12"/>
      <c r="G31" s="12"/>
    </row>
    <row r="32" spans="1:7" x14ac:dyDescent="0.25">
      <c r="A32" s="12" t="s">
        <v>43</v>
      </c>
      <c r="B32" s="10">
        <f>B16/B27</f>
        <v>20068926061.412815</v>
      </c>
      <c r="C32" s="10">
        <f>C16/C27</f>
        <v>24765657247.267002</v>
      </c>
      <c r="D32" s="10">
        <f t="shared" ref="D32:G32" si="3">D16/D27</f>
        <v>9906494265.6435699</v>
      </c>
      <c r="E32" s="10">
        <f t="shared" si="3"/>
        <v>3297393728.6594958</v>
      </c>
      <c r="F32" s="10">
        <f t="shared" si="3"/>
        <v>5169090475.7590389</v>
      </c>
      <c r="G32" s="10">
        <f t="shared" si="3"/>
        <v>1695947591.3507135</v>
      </c>
    </row>
    <row r="33" spans="1:7" x14ac:dyDescent="0.25">
      <c r="A33" s="12" t="s">
        <v>98</v>
      </c>
      <c r="B33" s="10">
        <f>B18/B28</f>
        <v>20256480214.497211</v>
      </c>
      <c r="C33" s="10">
        <f>C18/C28</f>
        <v>24623100205.752846</v>
      </c>
      <c r="D33" s="10">
        <f t="shared" ref="D33:G33" si="4">D18/D28</f>
        <v>9796445938.116272</v>
      </c>
      <c r="E33" s="10">
        <f t="shared" si="4"/>
        <v>3637252699.8443193</v>
      </c>
      <c r="F33" s="10">
        <f t="shared" si="4"/>
        <v>5135385817.3126507</v>
      </c>
      <c r="G33" s="10">
        <f t="shared" si="4"/>
        <v>1687395759.2239654</v>
      </c>
    </row>
    <row r="34" spans="1:7" x14ac:dyDescent="0.25">
      <c r="A34" s="12" t="s">
        <v>44</v>
      </c>
      <c r="B34" s="10">
        <f>B32/B10</f>
        <v>308245.81551826798</v>
      </c>
      <c r="C34" s="10">
        <f>C32/C10</f>
        <v>168197.21699261307</v>
      </c>
      <c r="D34" s="10">
        <f t="shared" ref="D34:E34" si="5">D32/D10</f>
        <v>168180.96630435347</v>
      </c>
      <c r="E34" s="10">
        <f t="shared" si="5"/>
        <v>531570.96005472995</v>
      </c>
      <c r="F34" s="10"/>
      <c r="G34" s="10"/>
    </row>
    <row r="35" spans="1:7" x14ac:dyDescent="0.25">
      <c r="A35" s="12" t="s">
        <v>99</v>
      </c>
      <c r="B35" s="10">
        <f>B33/B12</f>
        <v>301914.94755311817</v>
      </c>
      <c r="C35" s="10">
        <f>C33/C12</f>
        <v>162411.38733791548</v>
      </c>
      <c r="D35" s="10">
        <f t="shared" ref="D35:E35" si="6">D33/D12</f>
        <v>162302.08978643909</v>
      </c>
      <c r="E35" s="10">
        <f t="shared" si="6"/>
        <v>540132.56605944748</v>
      </c>
      <c r="F35" s="10"/>
      <c r="G35" s="10"/>
    </row>
    <row r="36" spans="1:7" x14ac:dyDescent="0.25">
      <c r="A36" s="12"/>
      <c r="B36" s="12"/>
      <c r="C36" s="12"/>
      <c r="D36" s="12"/>
      <c r="E36" s="12"/>
      <c r="F36" s="12"/>
      <c r="G36" s="12"/>
    </row>
    <row r="37" spans="1:7" x14ac:dyDescent="0.25">
      <c r="A37" s="25" t="s">
        <v>14</v>
      </c>
      <c r="B37" s="12"/>
      <c r="C37" s="12"/>
      <c r="D37" s="12"/>
      <c r="E37" s="12"/>
      <c r="F37" s="12"/>
      <c r="G37" s="12"/>
    </row>
    <row r="38" spans="1:7" x14ac:dyDescent="0.25">
      <c r="A38" s="12"/>
      <c r="B38" s="12"/>
      <c r="C38" s="12"/>
      <c r="D38" s="12"/>
      <c r="E38" s="12"/>
      <c r="F38" s="12"/>
      <c r="G38" s="12"/>
    </row>
    <row r="39" spans="1:7" x14ac:dyDescent="0.25">
      <c r="A39" s="12" t="s">
        <v>15</v>
      </c>
      <c r="B39" s="12"/>
      <c r="C39" s="12"/>
      <c r="D39" s="12"/>
      <c r="E39" s="12"/>
      <c r="F39" s="12"/>
      <c r="G39" s="12"/>
    </row>
    <row r="40" spans="1:7" x14ac:dyDescent="0.25">
      <c r="A40" s="12" t="s">
        <v>16</v>
      </c>
      <c r="B40" s="7">
        <f>((C40*C17+E40*E17)/(C17+E17))</f>
        <v>258.15160087759318</v>
      </c>
      <c r="C40" s="7">
        <f t="shared" ref="C40" si="7">(C11)/C29*100</f>
        <v>272.77758736687105</v>
      </c>
      <c r="D40" s="7" t="e">
        <f t="shared" ref="D40:F40" si="8">(D11)/D29*100</f>
        <v>#VALUE!</v>
      </c>
      <c r="E40" s="7">
        <f t="shared" si="8"/>
        <v>116.10648740930432</v>
      </c>
      <c r="F40" s="7" t="e">
        <f t="shared" si="8"/>
        <v>#DIV/0!</v>
      </c>
      <c r="G40" s="12"/>
    </row>
    <row r="41" spans="1:7" x14ac:dyDescent="0.25">
      <c r="A41" s="12" t="s">
        <v>17</v>
      </c>
      <c r="B41" s="7">
        <f>((C41*C18+E41*E18)/(C18+E18))</f>
        <v>181.55577874012704</v>
      </c>
      <c r="C41" s="7">
        <f t="shared" ref="C41" si="9">(C12)/C29*100</f>
        <v>192.45394524346503</v>
      </c>
      <c r="D41" s="7" t="e">
        <f t="shared" ref="D41:F41" si="10">(D12)/D29*100</f>
        <v>#VALUE!</v>
      </c>
      <c r="E41" s="7">
        <f t="shared" si="10"/>
        <v>107.77848911651728</v>
      </c>
      <c r="F41" s="7" t="e">
        <f t="shared" si="10"/>
        <v>#DIV/0!</v>
      </c>
      <c r="G41" s="12"/>
    </row>
    <row r="42" spans="1:7" x14ac:dyDescent="0.25">
      <c r="A42" s="12"/>
      <c r="B42" s="12"/>
      <c r="C42" s="12"/>
      <c r="D42" s="12"/>
      <c r="E42" s="12"/>
      <c r="F42" s="12"/>
      <c r="G42" s="12"/>
    </row>
    <row r="43" spans="1:7" x14ac:dyDescent="0.25">
      <c r="A43" s="12" t="s">
        <v>18</v>
      </c>
      <c r="B43" s="12"/>
      <c r="C43" s="12"/>
      <c r="D43" s="12"/>
      <c r="E43" s="12"/>
      <c r="F43" s="12"/>
      <c r="G43" s="12"/>
    </row>
    <row r="44" spans="1:7" x14ac:dyDescent="0.25">
      <c r="A44" s="12" t="s">
        <v>19</v>
      </c>
      <c r="B44" s="7">
        <f>B12/B11*100</f>
        <v>924.87249000597365</v>
      </c>
      <c r="C44" s="7">
        <f>(C12+D12)/C11*100</f>
        <v>98.642432628360055</v>
      </c>
      <c r="D44" s="7" t="e">
        <f>D12/D11*100</f>
        <v>#DIV/0!</v>
      </c>
      <c r="E44" s="7">
        <f>E12/E11*100</f>
        <v>92.827275651334844</v>
      </c>
      <c r="F44" s="7"/>
      <c r="G44" s="12"/>
    </row>
    <row r="45" spans="1:7" x14ac:dyDescent="0.25">
      <c r="A45" s="12" t="s">
        <v>20</v>
      </c>
      <c r="B45" s="7">
        <f>B18/B17*100</f>
        <v>516.45978204339656</v>
      </c>
      <c r="C45" s="7">
        <f>(C18+D18)/C17*100</f>
        <v>90.360064607147905</v>
      </c>
      <c r="D45" s="7" t="e">
        <f>D18/D17*100</f>
        <v>#DIV/0!</v>
      </c>
      <c r="E45" s="7">
        <f>E18/E17*100</f>
        <v>92.735495836732142</v>
      </c>
      <c r="F45" s="7" t="e">
        <f>F18/F17*100</f>
        <v>#DIV/0!</v>
      </c>
      <c r="G45" s="7" t="e">
        <f>G18/G17*100</f>
        <v>#DIV/0!</v>
      </c>
    </row>
    <row r="46" spans="1:7" x14ac:dyDescent="0.25">
      <c r="A46" s="12" t="s">
        <v>21</v>
      </c>
      <c r="B46" s="7">
        <f>AVERAGE(B44:B45)</f>
        <v>720.6661360246851</v>
      </c>
      <c r="C46" s="7">
        <f t="shared" ref="C46" si="11">AVERAGE(C44:C45)</f>
        <v>94.501248617753987</v>
      </c>
      <c r="D46" s="7" t="e">
        <f t="shared" ref="D46:E46" si="12">AVERAGE(D44:D45)</f>
        <v>#DIV/0!</v>
      </c>
      <c r="E46" s="7">
        <f t="shared" si="12"/>
        <v>92.781385744033486</v>
      </c>
      <c r="F46" s="7"/>
      <c r="G46" s="7"/>
    </row>
    <row r="47" spans="1:7" x14ac:dyDescent="0.25">
      <c r="A47" s="12"/>
      <c r="B47" s="7"/>
      <c r="C47" s="7"/>
      <c r="D47" s="7"/>
      <c r="E47" s="7"/>
      <c r="F47" s="7"/>
      <c r="G47" s="7"/>
    </row>
    <row r="48" spans="1:7" x14ac:dyDescent="0.25">
      <c r="A48" s="12" t="s">
        <v>22</v>
      </c>
      <c r="B48" s="12"/>
      <c r="C48" s="12"/>
      <c r="D48" s="12"/>
      <c r="E48" s="12"/>
      <c r="F48" s="12"/>
      <c r="G48" s="12"/>
    </row>
    <row r="49" spans="1:7" x14ac:dyDescent="0.25">
      <c r="A49" s="12" t="s">
        <v>23</v>
      </c>
      <c r="B49" s="7" t="e">
        <f>B12/(B13*4/3)*100</f>
        <v>#DIV/0!</v>
      </c>
      <c r="C49" s="7" t="e">
        <f>(C12+D12)/(C13*4/3)*100</f>
        <v>#DIV/0!</v>
      </c>
      <c r="D49" s="7" t="e">
        <f t="shared" ref="D49:E49" si="13">D12/(D13*4/3)*100</f>
        <v>#DIV/0!</v>
      </c>
      <c r="E49" s="7" t="e">
        <f t="shared" si="13"/>
        <v>#DIV/0!</v>
      </c>
      <c r="F49" s="7"/>
      <c r="G49" s="7"/>
    </row>
    <row r="50" spans="1:7" x14ac:dyDescent="0.25">
      <c r="A50" s="12" t="s">
        <v>24</v>
      </c>
      <c r="B50" s="7">
        <f>B18/B19*100</f>
        <v>387.34483653254739</v>
      </c>
      <c r="C50" s="7">
        <f>(C18+D18)/C19*100</f>
        <v>67.770048455360936</v>
      </c>
      <c r="D50" s="7" t="e">
        <f>D18/D19*100</f>
        <v>#DIV/0!</v>
      </c>
      <c r="E50" s="7">
        <f>E18/E19*100</f>
        <v>69.55162187754911</v>
      </c>
      <c r="F50" s="7" t="e">
        <f>F18/F19*100</f>
        <v>#DIV/0!</v>
      </c>
      <c r="G50" s="7" t="e">
        <f>G18/G19*100</f>
        <v>#DIV/0!</v>
      </c>
    </row>
    <row r="51" spans="1:7" x14ac:dyDescent="0.25">
      <c r="A51" s="12" t="s">
        <v>25</v>
      </c>
      <c r="B51" s="7" t="e">
        <f>(B49+B50)/2</f>
        <v>#DIV/0!</v>
      </c>
      <c r="C51" s="7" t="e">
        <f t="shared" ref="C51" si="14">(C49+C50)/2</f>
        <v>#DIV/0!</v>
      </c>
      <c r="D51" s="7" t="e">
        <f t="shared" ref="D51:E51" si="15">(D49+D50)/2</f>
        <v>#DIV/0!</v>
      </c>
      <c r="E51" s="7" t="e">
        <f t="shared" si="15"/>
        <v>#DIV/0!</v>
      </c>
      <c r="F51" s="7"/>
      <c r="G51" s="7"/>
    </row>
    <row r="52" spans="1:7" x14ac:dyDescent="0.25">
      <c r="A52" s="12"/>
      <c r="B52" s="12"/>
      <c r="C52" s="12"/>
      <c r="D52" s="12"/>
      <c r="E52" s="12"/>
      <c r="F52" s="12"/>
      <c r="G52" s="12"/>
    </row>
    <row r="53" spans="1:7" x14ac:dyDescent="0.25">
      <c r="A53" s="12" t="s">
        <v>57</v>
      </c>
      <c r="B53" s="12"/>
      <c r="C53" s="12"/>
      <c r="D53" s="12"/>
      <c r="E53" s="12"/>
      <c r="F53" s="12"/>
      <c r="G53" s="12"/>
    </row>
    <row r="54" spans="1:7" x14ac:dyDescent="0.25">
      <c r="A54" s="12" t="s">
        <v>26</v>
      </c>
      <c r="B54" s="7">
        <f>(B20/B18)*100</f>
        <v>100</v>
      </c>
      <c r="C54" s="7">
        <f t="shared" ref="C54" si="16">(C20/C18)*100</f>
        <v>100</v>
      </c>
      <c r="D54" s="7">
        <f t="shared" ref="D54:F54" si="17">(D20/D18)*100</f>
        <v>100</v>
      </c>
      <c r="E54" s="7">
        <f t="shared" si="17"/>
        <v>100</v>
      </c>
      <c r="F54" s="7">
        <f t="shared" si="17"/>
        <v>100</v>
      </c>
      <c r="G54" s="7"/>
    </row>
    <row r="55" spans="1:7" x14ac:dyDescent="0.25">
      <c r="A55" s="12"/>
      <c r="B55" s="12"/>
      <c r="C55" s="12"/>
      <c r="D55" s="12"/>
      <c r="E55" s="12"/>
      <c r="F55" s="12"/>
      <c r="G55" s="12"/>
    </row>
    <row r="56" spans="1:7" x14ac:dyDescent="0.25">
      <c r="A56" s="12" t="s">
        <v>27</v>
      </c>
      <c r="B56" s="12"/>
      <c r="C56" s="12"/>
      <c r="D56" s="12"/>
      <c r="E56" s="12"/>
      <c r="F56" s="12"/>
      <c r="G56" s="12"/>
    </row>
    <row r="57" spans="1:7" x14ac:dyDescent="0.25">
      <c r="A57" s="12" t="s">
        <v>28</v>
      </c>
      <c r="B57" s="7">
        <f>((B12/B10)-1)*100</f>
        <v>3.0510510920503497</v>
      </c>
      <c r="C57" s="7">
        <f>(((C12+D12)/C10)-1)*100</f>
        <v>43.959670262667004</v>
      </c>
      <c r="D57" s="7">
        <f>((D12/D10)-1)*100</f>
        <v>2.4710733512659067</v>
      </c>
      <c r="E57" s="7">
        <f>((E12/E10)-1)*100</f>
        <v>8.5584294619187382</v>
      </c>
      <c r="F57" s="7"/>
      <c r="G57" s="7"/>
    </row>
    <row r="58" spans="1:7" x14ac:dyDescent="0.25">
      <c r="A58" s="12" t="s">
        <v>29</v>
      </c>
      <c r="B58" s="7">
        <f>((B33/B32)-1)*100</f>
        <v>0.93455002280871113</v>
      </c>
      <c r="C58" s="7">
        <f>(((C33+D33)/C32)-1)*100</f>
        <v>38.980951727689202</v>
      </c>
      <c r="D58" s="7">
        <f t="shared" ref="D58:G58" si="18">((D33/D32)-1)*100</f>
        <v>-1.1108705519464523</v>
      </c>
      <c r="E58" s="7">
        <f t="shared" si="18"/>
        <v>10.306896875278149</v>
      </c>
      <c r="F58" s="7">
        <f t="shared" si="18"/>
        <v>-0.65204233906234199</v>
      </c>
      <c r="G58" s="7">
        <f t="shared" si="18"/>
        <v>-0.50425096685546844</v>
      </c>
    </row>
    <row r="59" spans="1:7" x14ac:dyDescent="0.25">
      <c r="A59" s="12" t="s">
        <v>30</v>
      </c>
      <c r="B59" s="7">
        <f>((B35/B34)-1)*100</f>
        <v>-2.0538374396114389</v>
      </c>
      <c r="C59" s="7">
        <f>(((C35+D35)/C34)-1)*100</f>
        <v>93.055202059981411</v>
      </c>
      <c r="D59" s="7">
        <f t="shared" ref="D59:E59" si="19">((D35/D34)-1)*100</f>
        <v>-3.495565905642084</v>
      </c>
      <c r="E59" s="7">
        <f t="shared" si="19"/>
        <v>1.6106233500483125</v>
      </c>
      <c r="F59" s="7"/>
      <c r="G59" s="7"/>
    </row>
    <row r="60" spans="1:7" x14ac:dyDescent="0.25">
      <c r="A60" s="12"/>
      <c r="B60" s="7"/>
      <c r="C60" s="7"/>
      <c r="D60" s="7"/>
      <c r="E60" s="7"/>
      <c r="F60" s="7"/>
      <c r="G60" s="7"/>
    </row>
    <row r="61" spans="1:7" x14ac:dyDescent="0.25">
      <c r="A61" s="12" t="s">
        <v>31</v>
      </c>
      <c r="B61" s="12"/>
      <c r="C61" s="12"/>
      <c r="D61" s="12"/>
      <c r="E61" s="12"/>
      <c r="F61" s="12"/>
      <c r="G61" s="12"/>
    </row>
    <row r="62" spans="1:7" x14ac:dyDescent="0.25">
      <c r="A62" s="12" t="s">
        <v>58</v>
      </c>
      <c r="B62" s="10">
        <f>B17/(B11*9)</f>
        <v>91665.428571428565</v>
      </c>
      <c r="C62" s="10">
        <f t="shared" ref="C62" si="20">C17/(C11*9)</f>
        <v>30053.571428571428</v>
      </c>
      <c r="D62" s="10" t="e">
        <f t="shared" ref="D62:E62" si="21">D17/(D11*9)</f>
        <v>#DIV/0!</v>
      </c>
      <c r="E62" s="10">
        <f t="shared" si="21"/>
        <v>91665.428571428565</v>
      </c>
      <c r="F62" s="10"/>
      <c r="G62" s="10"/>
    </row>
    <row r="63" spans="1:7" x14ac:dyDescent="0.25">
      <c r="A63" s="12" t="s">
        <v>59</v>
      </c>
      <c r="B63" s="10">
        <f>B18/(B12*9)</f>
        <v>51187.063916896004</v>
      </c>
      <c r="C63" s="10">
        <f>(C18+D18)/(C12*9)</f>
        <v>38490.582820038326</v>
      </c>
      <c r="D63" s="10">
        <f t="shared" ref="D63:E63" si="22">D18/(D12*9)</f>
        <v>27516.913326335409</v>
      </c>
      <c r="E63" s="10">
        <f t="shared" si="22"/>
        <v>91574.797493647493</v>
      </c>
      <c r="F63" s="10"/>
      <c r="G63" s="10"/>
    </row>
    <row r="64" spans="1:7" x14ac:dyDescent="0.25">
      <c r="A64" s="12" t="s">
        <v>32</v>
      </c>
      <c r="B64" s="7">
        <f>(B62/B63)*B46</f>
        <v>1290.5637706212101</v>
      </c>
      <c r="C64" s="7">
        <f t="shared" ref="C64" si="23">(C62/C63)*C46</f>
        <v>73.786880253324995</v>
      </c>
      <c r="D64" s="7" t="e">
        <f t="shared" ref="D64:E64" si="24">(D62/D63)*D46</f>
        <v>#DIV/0!</v>
      </c>
      <c r="E64" s="7">
        <f t="shared" si="24"/>
        <v>92.873210975627202</v>
      </c>
      <c r="F64" s="7"/>
      <c r="G64" s="7"/>
    </row>
    <row r="65" spans="1:7" x14ac:dyDescent="0.25">
      <c r="A65" s="7" t="s">
        <v>67</v>
      </c>
      <c r="B65" s="10">
        <f>B17/B11</f>
        <v>824988.85714285716</v>
      </c>
      <c r="C65" s="10">
        <f t="shared" ref="C65" si="25">C17/C11</f>
        <v>270482.14285714284</v>
      </c>
      <c r="D65" s="10" t="e">
        <f t="shared" ref="D65:E66" si="26">D17/D11</f>
        <v>#DIV/0!</v>
      </c>
      <c r="E65" s="10">
        <f t="shared" si="26"/>
        <v>824988.85714285716</v>
      </c>
      <c r="F65" s="7"/>
      <c r="G65" s="7"/>
    </row>
    <row r="66" spans="1:7" x14ac:dyDescent="0.25">
      <c r="A66" s="7" t="s">
        <v>68</v>
      </c>
      <c r="B66" s="10">
        <f>B18/B12</f>
        <v>460683.5752520641</v>
      </c>
      <c r="C66" s="10">
        <f>(C18+D18)/C12</f>
        <v>346415.24538034498</v>
      </c>
      <c r="D66" s="10">
        <f t="shared" si="26"/>
        <v>247652.21993701867</v>
      </c>
      <c r="E66" s="10">
        <f t="shared" si="26"/>
        <v>824173.17744282738</v>
      </c>
      <c r="F66" s="7"/>
      <c r="G66" s="7"/>
    </row>
    <row r="67" spans="1:7" x14ac:dyDescent="0.25">
      <c r="A67" s="12"/>
      <c r="B67" s="7"/>
      <c r="C67" s="7"/>
      <c r="D67" s="7"/>
      <c r="E67" s="7"/>
      <c r="F67" s="7"/>
      <c r="G67" s="7"/>
    </row>
    <row r="68" spans="1:7" x14ac:dyDescent="0.25">
      <c r="A68" s="12" t="s">
        <v>33</v>
      </c>
      <c r="B68" s="7"/>
      <c r="C68" s="7"/>
      <c r="D68" s="7"/>
      <c r="E68" s="7"/>
      <c r="F68" s="7"/>
      <c r="G68" s="7"/>
    </row>
    <row r="69" spans="1:7" x14ac:dyDescent="0.25">
      <c r="A69" s="12" t="s">
        <v>34</v>
      </c>
      <c r="B69" s="7">
        <f>(B24/B23)*100</f>
        <v>1263.0773276870593</v>
      </c>
      <c r="C69" s="7"/>
      <c r="D69" s="7"/>
      <c r="E69" s="7"/>
      <c r="F69" s="7"/>
      <c r="G69" s="7"/>
    </row>
    <row r="70" spans="1:7" x14ac:dyDescent="0.25">
      <c r="A70" s="12" t="s">
        <v>35</v>
      </c>
      <c r="B70" s="7">
        <f>(B18/B24)*100</f>
        <v>40.889007404569206</v>
      </c>
      <c r="C70" s="7"/>
      <c r="D70" s="7"/>
      <c r="E70" s="7"/>
      <c r="F70" s="7"/>
      <c r="G70" s="7"/>
    </row>
    <row r="71" spans="1:7" ht="15.75" thickBot="1" x14ac:dyDescent="0.3">
      <c r="A71" s="26"/>
      <c r="B71" s="26"/>
      <c r="C71" s="26"/>
      <c r="D71" s="26"/>
      <c r="E71" s="26"/>
      <c r="F71" s="26"/>
      <c r="G71" s="26"/>
    </row>
    <row r="72" spans="1:7" ht="15.75" thickTop="1" x14ac:dyDescent="0.25">
      <c r="A72" s="12"/>
      <c r="B72" s="12"/>
      <c r="C72" s="12"/>
      <c r="D72" s="12"/>
      <c r="E72" s="12"/>
      <c r="F72" s="12"/>
      <c r="G72" s="12"/>
    </row>
    <row r="73" spans="1:7" x14ac:dyDescent="0.25">
      <c r="A73" s="12" t="s">
        <v>40</v>
      </c>
      <c r="B73" s="12"/>
      <c r="C73" s="12"/>
      <c r="D73" s="12"/>
      <c r="E73" s="12"/>
      <c r="F73" s="12"/>
      <c r="G73" s="12"/>
    </row>
    <row r="74" spans="1:7" x14ac:dyDescent="0.25">
      <c r="A74" s="12" t="s">
        <v>121</v>
      </c>
      <c r="B74" s="12"/>
      <c r="C74" s="12"/>
      <c r="D74" s="12"/>
      <c r="E74" s="12"/>
      <c r="F74" s="12"/>
      <c r="G74" s="12"/>
    </row>
    <row r="75" spans="1:7" x14ac:dyDescent="0.25">
      <c r="A75" s="12" t="s">
        <v>84</v>
      </c>
      <c r="B75" s="27"/>
      <c r="C75" s="27"/>
      <c r="D75" s="27"/>
      <c r="E75" s="27"/>
      <c r="F75" s="12"/>
      <c r="G75" s="12"/>
    </row>
    <row r="76" spans="1:7" x14ac:dyDescent="0.25">
      <c r="A76" s="12" t="s">
        <v>85</v>
      </c>
      <c r="B76" s="12"/>
      <c r="C76" s="12"/>
      <c r="D76" s="12"/>
      <c r="E76" s="12"/>
      <c r="F76" s="12"/>
      <c r="G76" s="12"/>
    </row>
    <row r="77" spans="1:7" x14ac:dyDescent="0.25">
      <c r="A77" s="12"/>
      <c r="B77" s="12"/>
      <c r="C77" s="12"/>
      <c r="D77" s="12"/>
      <c r="E77" s="12"/>
      <c r="F77" s="12"/>
      <c r="G77" s="12"/>
    </row>
    <row r="78" spans="1:7" x14ac:dyDescent="0.25">
      <c r="A78" s="12" t="s">
        <v>73</v>
      </c>
      <c r="B78" s="12"/>
      <c r="C78" s="12"/>
      <c r="D78" s="12"/>
      <c r="E78" s="12"/>
      <c r="F78" s="12"/>
      <c r="G78" s="12"/>
    </row>
    <row r="79" spans="1:7" x14ac:dyDescent="0.25">
      <c r="A79" s="12" t="s">
        <v>75</v>
      </c>
      <c r="B79" s="12"/>
      <c r="C79" s="12"/>
      <c r="D79" s="12"/>
      <c r="E79" s="12"/>
      <c r="F79" s="12"/>
      <c r="G79" s="12"/>
    </row>
    <row r="80" spans="1:7" x14ac:dyDescent="0.25">
      <c r="A80" s="12" t="s">
        <v>74</v>
      </c>
      <c r="B80" s="12"/>
      <c r="C80" s="12"/>
      <c r="D80" s="12"/>
      <c r="E80" s="12"/>
      <c r="F80" s="12"/>
      <c r="G80" s="12"/>
    </row>
    <row r="81" spans="1:7" x14ac:dyDescent="0.25">
      <c r="A81" s="12"/>
      <c r="B81" s="12"/>
      <c r="C81" s="12"/>
      <c r="D81" s="12"/>
      <c r="E81" s="12"/>
      <c r="F81" s="12"/>
      <c r="G81" s="12"/>
    </row>
    <row r="82" spans="1:7" x14ac:dyDescent="0.25">
      <c r="A82" s="12"/>
      <c r="B82" s="12"/>
      <c r="C82" s="12"/>
      <c r="D82" s="12"/>
      <c r="E82" s="12"/>
      <c r="F82" s="12"/>
      <c r="G82" s="12"/>
    </row>
    <row r="83" spans="1:7" x14ac:dyDescent="0.25">
      <c r="A83" s="12"/>
      <c r="B83" s="12"/>
      <c r="C83" s="12"/>
      <c r="D83" s="12"/>
      <c r="E83" s="12"/>
      <c r="F83" s="12"/>
      <c r="G83" s="12"/>
    </row>
    <row r="84" spans="1:7" x14ac:dyDescent="0.25">
      <c r="A84" s="12"/>
      <c r="B84" s="12"/>
      <c r="C84" s="12"/>
      <c r="D84" s="12"/>
      <c r="E84" s="12"/>
      <c r="F84" s="12"/>
      <c r="G84" s="12"/>
    </row>
  </sheetData>
  <mergeCells count="6">
    <mergeCell ref="A2:G2"/>
    <mergeCell ref="A4:A5"/>
    <mergeCell ref="B4:B5"/>
    <mergeCell ref="F4:F5"/>
    <mergeCell ref="G4:G5"/>
    <mergeCell ref="C5:D5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0"/>
  <sheetViews>
    <sheetView tabSelected="1" topLeftCell="A86" workbookViewId="0">
      <selection activeCell="H71" sqref="A1:H71"/>
    </sheetView>
  </sheetViews>
  <sheetFormatPr baseColWidth="10" defaultRowHeight="15" x14ac:dyDescent="0.25"/>
  <cols>
    <col min="1" max="1" width="55.140625" style="1" customWidth="1"/>
    <col min="2" max="3" width="16.140625" style="1" customWidth="1"/>
    <col min="4" max="4" width="17" style="1" bestFit="1" customWidth="1"/>
    <col min="5" max="5" width="16.42578125" style="1" bestFit="1" customWidth="1"/>
    <col min="6" max="6" width="14.7109375" style="1" bestFit="1" customWidth="1"/>
    <col min="7" max="7" width="17.5703125" style="1" bestFit="1" customWidth="1"/>
    <col min="8" max="16384" width="11.42578125" style="1"/>
  </cols>
  <sheetData>
    <row r="1" spans="1:8" x14ac:dyDescent="0.25">
      <c r="A1" s="12"/>
      <c r="B1" s="12"/>
      <c r="C1" s="12"/>
      <c r="D1" s="12"/>
      <c r="E1" s="12"/>
      <c r="F1" s="12"/>
      <c r="G1" s="12"/>
      <c r="H1" s="12"/>
    </row>
    <row r="2" spans="1:8" ht="15.75" x14ac:dyDescent="0.25">
      <c r="A2" s="28" t="s">
        <v>125</v>
      </c>
      <c r="B2" s="28"/>
      <c r="C2" s="28"/>
      <c r="D2" s="28"/>
      <c r="E2" s="28"/>
      <c r="F2" s="28"/>
      <c r="G2" s="28"/>
      <c r="H2" s="12"/>
    </row>
    <row r="3" spans="1:8" x14ac:dyDescent="0.25">
      <c r="A3" s="12"/>
      <c r="B3" s="12"/>
      <c r="C3" s="12"/>
      <c r="D3" s="12"/>
      <c r="E3" s="12"/>
      <c r="F3" s="12"/>
      <c r="G3" s="12"/>
      <c r="H3" s="12"/>
    </row>
    <row r="4" spans="1:8" x14ac:dyDescent="0.25">
      <c r="A4" s="29" t="s">
        <v>0</v>
      </c>
      <c r="B4" s="29" t="s">
        <v>62</v>
      </c>
      <c r="C4" s="30"/>
      <c r="D4" s="31" t="s">
        <v>1</v>
      </c>
      <c r="E4" s="31"/>
      <c r="F4" s="29" t="s">
        <v>2</v>
      </c>
      <c r="G4" s="29" t="s">
        <v>3</v>
      </c>
      <c r="H4" s="12"/>
    </row>
    <row r="5" spans="1:8" ht="15.75" thickBot="1" x14ac:dyDescent="0.3">
      <c r="A5" s="32"/>
      <c r="B5" s="32"/>
      <c r="C5" s="33" t="s">
        <v>63</v>
      </c>
      <c r="D5" s="33"/>
      <c r="E5" s="34" t="s">
        <v>64</v>
      </c>
      <c r="F5" s="32"/>
      <c r="G5" s="32"/>
      <c r="H5" s="12"/>
    </row>
    <row r="6" spans="1:8" ht="15.75" thickTop="1" x14ac:dyDescent="0.25">
      <c r="A6" s="12"/>
      <c r="B6" s="12"/>
      <c r="C6" s="35" t="s">
        <v>122</v>
      </c>
      <c r="D6" s="35" t="s">
        <v>123</v>
      </c>
      <c r="E6" s="12"/>
      <c r="F6" s="12"/>
      <c r="G6" s="12"/>
      <c r="H6" s="12"/>
    </row>
    <row r="7" spans="1:8" x14ac:dyDescent="0.25">
      <c r="A7" s="25" t="s">
        <v>4</v>
      </c>
      <c r="B7" s="12"/>
      <c r="C7" s="12"/>
      <c r="D7" s="12"/>
      <c r="E7" s="12"/>
      <c r="F7" s="12"/>
      <c r="G7" s="12"/>
      <c r="H7" s="12"/>
    </row>
    <row r="8" spans="1:8" x14ac:dyDescent="0.25">
      <c r="A8" s="12"/>
      <c r="B8" s="12"/>
      <c r="C8" s="12"/>
      <c r="D8" s="12"/>
      <c r="E8" s="12"/>
      <c r="F8" s="12"/>
      <c r="G8" s="12"/>
      <c r="H8" s="12"/>
    </row>
    <row r="9" spans="1:8" x14ac:dyDescent="0.25">
      <c r="A9" s="12" t="s">
        <v>71</v>
      </c>
      <c r="B9" s="12"/>
      <c r="C9" s="12"/>
      <c r="D9" s="12"/>
      <c r="E9" s="12"/>
      <c r="F9" s="12"/>
      <c r="G9" s="12"/>
      <c r="H9" s="12"/>
    </row>
    <row r="10" spans="1:8" x14ac:dyDescent="0.25">
      <c r="A10" s="23" t="s">
        <v>53</v>
      </c>
      <c r="B10" s="10">
        <f>SUM(D10:H10)</f>
        <v>90989.833333333328</v>
      </c>
      <c r="C10" s="10">
        <f>+'I Trimestre'!C10+'II Trimestre'!C10+'III Trimestre'!C10+'IV Trimestre'!C10/4</f>
        <v>205698.66666666669</v>
      </c>
      <c r="D10" s="10">
        <f>+'I Trimestre'!D10+'II Trimestre'!D10+'III Trimestre'!D10+'IV Trimestre'!D10/4</f>
        <v>82262.916666666657</v>
      </c>
      <c r="E10" s="10">
        <f>+'I Trimestre'!E10+'II Trimestre'!E10+'III Trimestre'!E10+'IV Trimestre'!E10/4</f>
        <v>8726.9166666666679</v>
      </c>
      <c r="F10" s="10">
        <f>+'I Trimestre'!F10+'II Trimestre'!F10+'III Trimestre'!F10+'IV Trimestre'!F10/4</f>
        <v>0</v>
      </c>
      <c r="G10" s="10">
        <f>+'I Trimestre'!G10+'II Trimestre'!G10+'III Trimestre'!G10+'IV Trimestre'!G10/4</f>
        <v>0</v>
      </c>
      <c r="H10" s="12"/>
    </row>
    <row r="11" spans="1:8" x14ac:dyDescent="0.25">
      <c r="A11" s="23" t="s">
        <v>115</v>
      </c>
      <c r="B11" s="10">
        <f t="shared" ref="B11:B13" si="0">SUM(D11:H11)</f>
        <v>10104.25</v>
      </c>
      <c r="C11" s="10">
        <f>+'I Trimestre'!C11+'II Trimestre'!C11+'III Trimestre'!C11+'IV Trimestre'!C11/4</f>
        <v>299305.5</v>
      </c>
      <c r="D11" s="10">
        <f>+'I Trimestre'!D11+'II Trimestre'!D11+'III Trimestre'!D11+'IV Trimestre'!D11/4</f>
        <v>0</v>
      </c>
      <c r="E11" s="10">
        <f>+'I Trimestre'!E11+'II Trimestre'!E11+'III Trimestre'!E11+'IV Trimestre'!E11/4</f>
        <v>10104.25</v>
      </c>
      <c r="F11" s="10">
        <f>+'I Trimestre'!F11+'II Trimestre'!F11+'III Trimestre'!F11+'IV Trimestre'!F11/4</f>
        <v>0</v>
      </c>
      <c r="G11" s="10">
        <f>+'I Trimestre'!G11+'II Trimestre'!G11+'III Trimestre'!G11+'IV Trimestre'!G11/4</f>
        <v>0</v>
      </c>
      <c r="H11" s="12"/>
    </row>
    <row r="12" spans="1:8" x14ac:dyDescent="0.25">
      <c r="A12" s="23" t="s">
        <v>116</v>
      </c>
      <c r="B12" s="10">
        <f t="shared" si="0"/>
        <v>93677.166666666672</v>
      </c>
      <c r="C12" s="10">
        <f>+'I Trimestre'!C12+'II Trimestre'!C12+'III Trimestre'!C12+'IV Trimestre'!C12/4</f>
        <v>212175.83333333334</v>
      </c>
      <c r="D12" s="10">
        <f>+'I Trimestre'!D12+'II Trimestre'!D12+'III Trimestre'!D12+'IV Trimestre'!D12/4</f>
        <v>84184.5</v>
      </c>
      <c r="E12" s="10">
        <f>+'I Trimestre'!E12+'II Trimestre'!E12+'III Trimestre'!E12+'IV Trimestre'!E12/4</f>
        <v>9492.6666666666661</v>
      </c>
      <c r="F12" s="10">
        <f>+'I Trimestre'!F12+'II Trimestre'!F12+'III Trimestre'!F12+'IV Trimestre'!F12/4</f>
        <v>0</v>
      </c>
      <c r="G12" s="10">
        <f>+'I Trimestre'!G12+'II Trimestre'!G12+'III Trimestre'!G12+'IV Trimestre'!G12/4</f>
        <v>0</v>
      </c>
      <c r="H12" s="12"/>
    </row>
    <row r="13" spans="1:8" x14ac:dyDescent="0.25">
      <c r="A13" s="23" t="s">
        <v>79</v>
      </c>
      <c r="B13" s="10">
        <f t="shared" si="0"/>
        <v>0</v>
      </c>
      <c r="C13" s="10"/>
      <c r="D13" s="10"/>
      <c r="E13" s="10"/>
      <c r="F13" s="10"/>
      <c r="G13" s="12"/>
      <c r="H13" s="12"/>
    </row>
    <row r="14" spans="1:8" x14ac:dyDescent="0.25">
      <c r="A14" s="12"/>
      <c r="B14" s="12"/>
      <c r="C14" s="12"/>
      <c r="D14" s="12"/>
      <c r="E14" s="12"/>
      <c r="F14" s="12"/>
      <c r="G14" s="12"/>
      <c r="H14" s="12"/>
    </row>
    <row r="15" spans="1:8" x14ac:dyDescent="0.25">
      <c r="A15" s="22" t="s">
        <v>6</v>
      </c>
      <c r="B15" s="12"/>
      <c r="C15" s="12"/>
      <c r="D15" s="12"/>
      <c r="E15" s="12"/>
      <c r="F15" s="12"/>
      <c r="G15" s="12"/>
      <c r="H15" s="12"/>
    </row>
    <row r="16" spans="1:8" x14ac:dyDescent="0.25">
      <c r="A16" s="23" t="s">
        <v>53</v>
      </c>
      <c r="B16" s="10">
        <f>SUM(D16:H16)</f>
        <v>35452985494.37281</v>
      </c>
      <c r="C16" s="10">
        <f>+'I Trimestre'!C16+'II Trimestre'!C16+'III Trimestre'!C16+'IV Trimestre'!C16</f>
        <v>60330537350.757187</v>
      </c>
      <c r="D16" s="10">
        <f>+'I Trimestre'!D16+'II Trimestre'!D16+'III Trimestre'!D16+'IV Trimestre'!D16</f>
        <v>14480809863.75544</v>
      </c>
      <c r="E16" s="10">
        <f>+'I Trimestre'!E16+'II Trimestre'!E16+'III Trimestre'!E16+'IV Trimestre'!E16</f>
        <v>7078085042.6873722</v>
      </c>
      <c r="F16" s="10">
        <f>+'I Trimestre'!F16+'II Trimestre'!F16+'III Trimestre'!F16+'IV Trimestre'!F16</f>
        <v>10271041087.93</v>
      </c>
      <c r="G16" s="10">
        <f>+'I Trimestre'!G16+'II Trimestre'!G16+'III Trimestre'!G16+'IV Trimestre'!G16</f>
        <v>3623049500</v>
      </c>
      <c r="H16" s="12"/>
    </row>
    <row r="17" spans="1:8" x14ac:dyDescent="0.25">
      <c r="A17" s="23" t="s">
        <v>115</v>
      </c>
      <c r="B17" s="10">
        <f t="shared" ref="B17:B20" si="1">SUM(D17:H17)</f>
        <v>7979658888</v>
      </c>
      <c r="C17" s="10">
        <f>+'I Trimestre'!C17+'II Trimestre'!C17+'III Trimestre'!C17+'IV Trimestre'!C17</f>
        <v>77497101000</v>
      </c>
      <c r="D17" s="10">
        <f>+'I Trimestre'!D17+'II Trimestre'!D17+'III Trimestre'!D17+'IV Trimestre'!D17</f>
        <v>0</v>
      </c>
      <c r="E17" s="10">
        <f>+'I Trimestre'!E17+'II Trimestre'!E17+'III Trimestre'!E17+'IV Trimestre'!E17</f>
        <v>7979658888</v>
      </c>
      <c r="F17" s="10">
        <f>+'I Trimestre'!F17+'II Trimestre'!F17+'III Trimestre'!F17+'IV Trimestre'!F17</f>
        <v>0</v>
      </c>
      <c r="G17" s="10">
        <f>+'I Trimestre'!G17+'II Trimestre'!G17+'III Trimestre'!G17+'IV Trimestre'!G17</f>
        <v>0</v>
      </c>
      <c r="H17" s="12"/>
    </row>
    <row r="18" spans="1:8" x14ac:dyDescent="0.25">
      <c r="A18" s="23" t="s">
        <v>116</v>
      </c>
      <c r="B18" s="10">
        <f t="shared" si="1"/>
        <v>30908796675.578491</v>
      </c>
      <c r="C18" s="10">
        <f>+'I Trimestre'!C18+'II Trimestre'!C18+'III Trimestre'!C18+'IV Trimestre'!C18</f>
        <v>37571700005.281509</v>
      </c>
      <c r="D18" s="10">
        <f>+'I Trimestre'!D18+'II Trimestre'!D18+'III Trimestre'!D18+'IV Trimestre'!D18</f>
        <v>14948122893.918489</v>
      </c>
      <c r="E18" s="10">
        <f>+'I Trimestre'!E18+'II Trimestre'!E18+'III Trimestre'!E18+'IV Trimestre'!E18</f>
        <v>5549982176.8999996</v>
      </c>
      <c r="F18" s="10">
        <f>+'I Trimestre'!F18+'II Trimestre'!F18+'III Trimestre'!F18+'IV Trimestre'!F18</f>
        <v>7835941604.7199993</v>
      </c>
      <c r="G18" s="10">
        <f>+'I Trimestre'!G18+'II Trimestre'!G18+'III Trimestre'!G18+'IV Trimestre'!G18</f>
        <v>2574750000.04</v>
      </c>
      <c r="H18" s="12"/>
    </row>
    <row r="19" spans="1:8" x14ac:dyDescent="0.25">
      <c r="A19" s="23" t="s">
        <v>79</v>
      </c>
      <c r="B19" s="10">
        <f t="shared" si="1"/>
        <v>7979658888</v>
      </c>
      <c r="C19" s="10">
        <f>+'IV Trimestre'!C19</f>
        <v>77497101000</v>
      </c>
      <c r="D19" s="10">
        <f>+'IV Trimestre'!D19</f>
        <v>0</v>
      </c>
      <c r="E19" s="10">
        <f>+'IV Trimestre'!E19</f>
        <v>7979658888</v>
      </c>
      <c r="F19" s="10">
        <f>+'IV Trimestre'!F19</f>
        <v>0</v>
      </c>
      <c r="G19" s="10">
        <f>+'IV Trimestre'!G19</f>
        <v>0</v>
      </c>
      <c r="H19" s="12"/>
    </row>
    <row r="20" spans="1:8" x14ac:dyDescent="0.25">
      <c r="A20" s="23" t="s">
        <v>117</v>
      </c>
      <c r="B20" s="10">
        <f t="shared" si="1"/>
        <v>30908796675.578491</v>
      </c>
      <c r="C20" s="10">
        <f>+C18</f>
        <v>37571700005.281509</v>
      </c>
      <c r="D20" s="10">
        <f>+D18</f>
        <v>14948122893.918489</v>
      </c>
      <c r="E20" s="10">
        <f t="shared" ref="E20:G20" si="2">+E18</f>
        <v>5549982176.8999996</v>
      </c>
      <c r="F20" s="10">
        <f t="shared" si="2"/>
        <v>7835941604.7199993</v>
      </c>
      <c r="G20" s="10">
        <f t="shared" si="2"/>
        <v>2574750000.04</v>
      </c>
      <c r="H20" s="12"/>
    </row>
    <row r="21" spans="1:8" x14ac:dyDescent="0.25">
      <c r="A21" s="12"/>
      <c r="B21" s="10"/>
      <c r="C21" s="10"/>
      <c r="D21" s="10"/>
      <c r="E21" s="10"/>
      <c r="F21" s="10"/>
      <c r="G21" s="12"/>
      <c r="H21" s="12"/>
    </row>
    <row r="22" spans="1:8" x14ac:dyDescent="0.25">
      <c r="A22" s="22" t="s">
        <v>7</v>
      </c>
      <c r="B22" s="10"/>
      <c r="C22" s="10"/>
      <c r="D22" s="10"/>
      <c r="E22" s="10"/>
      <c r="F22" s="10"/>
      <c r="G22" s="10"/>
      <c r="H22" s="12"/>
    </row>
    <row r="23" spans="1:8" x14ac:dyDescent="0.25">
      <c r="A23" s="23" t="s">
        <v>115</v>
      </c>
      <c r="B23" s="10">
        <f>B17</f>
        <v>7979658888</v>
      </c>
      <c r="C23" s="10"/>
      <c r="D23" s="10"/>
      <c r="E23" s="10"/>
      <c r="F23" s="10"/>
      <c r="G23" s="10"/>
      <c r="H23" s="12"/>
    </row>
    <row r="24" spans="1:8" x14ac:dyDescent="0.25">
      <c r="A24" s="23" t="s">
        <v>116</v>
      </c>
      <c r="B24" s="10">
        <f>+'I Trimestre'!B24+'II Trimestre'!B24+'III Trimestre'!B24+'IV Trimestre'!B24</f>
        <v>75591946680.819992</v>
      </c>
      <c r="C24" s="10"/>
      <c r="D24" s="10"/>
      <c r="E24" s="10"/>
      <c r="F24" s="10"/>
      <c r="G24" s="10"/>
      <c r="H24" s="12"/>
    </row>
    <row r="25" spans="1:8" x14ac:dyDescent="0.25">
      <c r="A25" s="12"/>
      <c r="B25" s="12"/>
      <c r="C25" s="12"/>
      <c r="D25" s="12"/>
      <c r="E25" s="12"/>
      <c r="F25" s="12"/>
      <c r="G25" s="12"/>
      <c r="H25" s="12"/>
    </row>
    <row r="26" spans="1:8" x14ac:dyDescent="0.25">
      <c r="A26" s="12" t="s">
        <v>8</v>
      </c>
      <c r="B26" s="12"/>
      <c r="C26" s="12"/>
      <c r="D26" s="12"/>
      <c r="E26" s="12"/>
      <c r="F26" s="12"/>
      <c r="G26" s="12"/>
      <c r="H26" s="12"/>
    </row>
    <row r="27" spans="1:8" x14ac:dyDescent="0.25">
      <c r="A27" s="23" t="s">
        <v>54</v>
      </c>
      <c r="B27" s="24">
        <v>1.4683304717083334</v>
      </c>
      <c r="C27" s="24">
        <v>1.4683304717083334</v>
      </c>
      <c r="D27" s="24">
        <v>1.4683304717083334</v>
      </c>
      <c r="E27" s="24">
        <v>1.4683304717083334</v>
      </c>
      <c r="F27" s="24">
        <v>1.4683304717083334</v>
      </c>
      <c r="G27" s="24">
        <v>1.4683304717083334</v>
      </c>
      <c r="H27" s="12"/>
    </row>
    <row r="28" spans="1:8" x14ac:dyDescent="0.25">
      <c r="A28" s="23" t="s">
        <v>118</v>
      </c>
      <c r="B28" s="24">
        <v>1.53</v>
      </c>
      <c r="C28" s="24">
        <v>1.53</v>
      </c>
      <c r="D28" s="24">
        <v>1.53</v>
      </c>
      <c r="E28" s="24">
        <v>1.53</v>
      </c>
      <c r="F28" s="24">
        <v>1.53</v>
      </c>
      <c r="G28" s="24">
        <v>1.53</v>
      </c>
      <c r="H28" s="12"/>
    </row>
    <row r="29" spans="1:8" x14ac:dyDescent="0.25">
      <c r="A29" s="23" t="s">
        <v>10</v>
      </c>
      <c r="B29" s="11">
        <f>SUM(D29:E29)</f>
        <v>6248</v>
      </c>
      <c r="C29" s="11">
        <v>78777</v>
      </c>
      <c r="D29" s="11" t="s">
        <v>124</v>
      </c>
      <c r="E29" s="11">
        <v>6248</v>
      </c>
      <c r="F29" s="9"/>
      <c r="G29" s="9"/>
      <c r="H29" s="12"/>
    </row>
    <row r="30" spans="1:8" x14ac:dyDescent="0.25">
      <c r="A30" s="12"/>
      <c r="B30" s="12"/>
      <c r="C30" s="12"/>
      <c r="D30" s="12"/>
      <c r="E30" s="12"/>
      <c r="F30" s="12"/>
      <c r="G30" s="12"/>
      <c r="H30" s="12"/>
    </row>
    <row r="31" spans="1:8" x14ac:dyDescent="0.25">
      <c r="A31" s="25" t="s">
        <v>11</v>
      </c>
      <c r="B31" s="12"/>
      <c r="C31" s="12"/>
      <c r="D31" s="12"/>
      <c r="E31" s="12"/>
      <c r="F31" s="12"/>
      <c r="G31" s="12"/>
      <c r="H31" s="12"/>
    </row>
    <row r="32" spans="1:8" x14ac:dyDescent="0.25">
      <c r="A32" s="12" t="s">
        <v>55</v>
      </c>
      <c r="B32" s="10">
        <f>B16/B27</f>
        <v>24145099606.306564</v>
      </c>
      <c r="C32" s="10">
        <f t="shared" ref="C32" si="3">C16/C27</f>
        <v>41087846716.526588</v>
      </c>
      <c r="D32" s="10">
        <f t="shared" ref="D32:G32" si="4">D16/D27</f>
        <v>9862091772.0979385</v>
      </c>
      <c r="E32" s="10">
        <f t="shared" si="4"/>
        <v>4820498640.5085993</v>
      </c>
      <c r="F32" s="10">
        <f t="shared" si="4"/>
        <v>6995047290.6689234</v>
      </c>
      <c r="G32" s="10">
        <f t="shared" si="4"/>
        <v>2467461903.0311022</v>
      </c>
      <c r="H32" s="12"/>
    </row>
    <row r="33" spans="1:8" x14ac:dyDescent="0.25">
      <c r="A33" s="12" t="s">
        <v>119</v>
      </c>
      <c r="B33" s="10">
        <f>B18/B28</f>
        <v>20201827892.534962</v>
      </c>
      <c r="C33" s="10">
        <f t="shared" ref="C33" si="5">C18/C28</f>
        <v>24556666670.118633</v>
      </c>
      <c r="D33" s="10">
        <f t="shared" ref="D33:G33" si="6">D18/D28</f>
        <v>9770014963.345417</v>
      </c>
      <c r="E33" s="10">
        <f t="shared" si="6"/>
        <v>3627439331.3071895</v>
      </c>
      <c r="F33" s="10">
        <f t="shared" si="6"/>
        <v>5121530460.6013069</v>
      </c>
      <c r="G33" s="10">
        <f t="shared" si="6"/>
        <v>1682843137.2810457</v>
      </c>
      <c r="H33" s="12"/>
    </row>
    <row r="34" spans="1:8" x14ac:dyDescent="0.25">
      <c r="A34" s="12" t="s">
        <v>56</v>
      </c>
      <c r="B34" s="10">
        <f>B32/B10</f>
        <v>265360.41139731614</v>
      </c>
      <c r="C34" s="10">
        <f t="shared" ref="C34" si="7">C32/C10</f>
        <v>199747.75423852974</v>
      </c>
      <c r="D34" s="10">
        <f t="shared" ref="D34:E34" si="8">D32/D10</f>
        <v>119885.02440364003</v>
      </c>
      <c r="E34" s="10">
        <f t="shared" si="8"/>
        <v>552371.33854170702</v>
      </c>
      <c r="F34" s="10"/>
      <c r="G34" s="10"/>
      <c r="H34" s="12"/>
    </row>
    <row r="35" spans="1:8" x14ac:dyDescent="0.25">
      <c r="A35" s="12" t="s">
        <v>120</v>
      </c>
      <c r="B35" s="10">
        <f>B33/B12</f>
        <v>215653.70315286677</v>
      </c>
      <c r="C35" s="10">
        <f t="shared" ref="C35" si="9">C33/C12</f>
        <v>115737.34050823553</v>
      </c>
      <c r="D35" s="10">
        <f t="shared" ref="D35:E35" si="10">D33/D12</f>
        <v>116054.79587507696</v>
      </c>
      <c r="E35" s="10">
        <f t="shared" si="10"/>
        <v>382130.69716699095</v>
      </c>
      <c r="F35" s="10"/>
      <c r="G35" s="10"/>
      <c r="H35" s="12"/>
    </row>
    <row r="36" spans="1:8" x14ac:dyDescent="0.25">
      <c r="A36" s="12"/>
      <c r="B36" s="12"/>
      <c r="C36" s="12"/>
      <c r="D36" s="12"/>
      <c r="E36" s="12"/>
      <c r="F36" s="12"/>
      <c r="G36" s="12"/>
      <c r="H36" s="12"/>
    </row>
    <row r="37" spans="1:8" x14ac:dyDescent="0.25">
      <c r="A37" s="25" t="s">
        <v>14</v>
      </c>
      <c r="B37" s="12"/>
      <c r="C37" s="12"/>
      <c r="D37" s="12"/>
      <c r="E37" s="12"/>
      <c r="F37" s="12"/>
      <c r="G37" s="12"/>
      <c r="H37" s="12"/>
    </row>
    <row r="38" spans="1:8" x14ac:dyDescent="0.25">
      <c r="A38" s="12"/>
      <c r="B38" s="12"/>
      <c r="C38" s="12"/>
      <c r="D38" s="12"/>
      <c r="E38" s="12"/>
      <c r="F38" s="12"/>
      <c r="G38" s="12"/>
      <c r="H38" s="12"/>
    </row>
    <row r="39" spans="1:8" x14ac:dyDescent="0.25">
      <c r="A39" s="12" t="s">
        <v>15</v>
      </c>
      <c r="B39" s="12"/>
      <c r="C39" s="12"/>
      <c r="D39" s="12"/>
      <c r="E39" s="12"/>
      <c r="F39" s="12"/>
      <c r="G39" s="12"/>
      <c r="H39" s="12"/>
    </row>
    <row r="40" spans="1:8" x14ac:dyDescent="0.25">
      <c r="A40" s="12" t="s">
        <v>16</v>
      </c>
      <c r="B40" s="7">
        <f>((C40*C17+E40*E17)/(C17+E17))</f>
        <v>359.56830122236192</v>
      </c>
      <c r="C40" s="7">
        <f t="shared" ref="C40" si="11">(C11)/C29*100</f>
        <v>379.94021097528463</v>
      </c>
      <c r="D40" s="7" t="e">
        <f t="shared" ref="D40:F40" si="12">(D11)/D29*100</f>
        <v>#VALUE!</v>
      </c>
      <c r="E40" s="7">
        <f t="shared" si="12"/>
        <v>161.71975032010243</v>
      </c>
      <c r="F40" s="7" t="e">
        <f t="shared" si="12"/>
        <v>#DIV/0!</v>
      </c>
      <c r="G40" s="12"/>
      <c r="H40" s="12"/>
    </row>
    <row r="41" spans="1:8" x14ac:dyDescent="0.25">
      <c r="A41" s="12" t="s">
        <v>17</v>
      </c>
      <c r="B41" s="7">
        <f>((C41*C18+E41*E18)/(C18+E18))</f>
        <v>254.22652956121749</v>
      </c>
      <c r="C41" s="7">
        <f t="shared" ref="C41" si="13">(C12)/C29*100</f>
        <v>269.3372854174865</v>
      </c>
      <c r="D41" s="7" t="e">
        <f t="shared" ref="D41:F41" si="14">(D12)/D29*100</f>
        <v>#VALUE!</v>
      </c>
      <c r="E41" s="7">
        <f t="shared" si="14"/>
        <v>151.93128467776353</v>
      </c>
      <c r="F41" s="7" t="e">
        <f t="shared" si="14"/>
        <v>#DIV/0!</v>
      </c>
      <c r="G41" s="12"/>
      <c r="H41" s="12"/>
    </row>
    <row r="42" spans="1:8" x14ac:dyDescent="0.25">
      <c r="A42" s="12"/>
      <c r="B42" s="12"/>
      <c r="C42" s="12"/>
      <c r="D42" s="12"/>
      <c r="E42" s="12"/>
      <c r="F42" s="12"/>
      <c r="G42" s="12"/>
      <c r="H42" s="12"/>
    </row>
    <row r="43" spans="1:8" x14ac:dyDescent="0.25">
      <c r="A43" s="12" t="s">
        <v>18</v>
      </c>
      <c r="B43" s="12"/>
      <c r="C43" s="12"/>
      <c r="D43" s="12"/>
      <c r="E43" s="12"/>
      <c r="F43" s="12"/>
      <c r="G43" s="12"/>
      <c r="H43" s="12"/>
    </row>
    <row r="44" spans="1:8" x14ac:dyDescent="0.25">
      <c r="A44" s="12" t="s">
        <v>19</v>
      </c>
      <c r="B44" s="7">
        <f>B12/B11*100</f>
        <v>927.10658056428395</v>
      </c>
      <c r="C44" s="7">
        <f>(C12+D12)/C11*100</f>
        <v>99.015999817354967</v>
      </c>
      <c r="D44" s="7" t="e">
        <f>D12/D11*100</f>
        <v>#DIV/0!</v>
      </c>
      <c r="E44" s="7">
        <f>E12/E11*100</f>
        <v>93.947266414297602</v>
      </c>
      <c r="F44" s="7"/>
      <c r="G44" s="12"/>
      <c r="H44" s="12"/>
    </row>
    <row r="45" spans="1:8" x14ac:dyDescent="0.25">
      <c r="A45" s="12" t="s">
        <v>20</v>
      </c>
      <c r="B45" s="7">
        <f>B18/B17*100</f>
        <v>387.34483653254739</v>
      </c>
      <c r="C45" s="7">
        <f>(C18+D18)/C17*100</f>
        <v>67.770048455360936</v>
      </c>
      <c r="D45" s="7" t="e">
        <f>D18/D17*100</f>
        <v>#DIV/0!</v>
      </c>
      <c r="E45" s="7">
        <f>E18/E17*100</f>
        <v>69.55162187754911</v>
      </c>
      <c r="F45" s="7" t="e">
        <f>F18/F17*100</f>
        <v>#DIV/0!</v>
      </c>
      <c r="G45" s="7" t="e">
        <f>G18/G17*100</f>
        <v>#DIV/0!</v>
      </c>
      <c r="H45" s="12"/>
    </row>
    <row r="46" spans="1:8" x14ac:dyDescent="0.25">
      <c r="A46" s="12" t="s">
        <v>21</v>
      </c>
      <c r="B46" s="7">
        <f>AVERAGE(B44:B45)</f>
        <v>657.2257085484157</v>
      </c>
      <c r="C46" s="7">
        <f t="shared" ref="C46" si="15">AVERAGE(C44:C45)</f>
        <v>83.393024136357951</v>
      </c>
      <c r="D46" s="7" t="e">
        <f t="shared" ref="D46:E46" si="16">AVERAGE(D44:D45)</f>
        <v>#DIV/0!</v>
      </c>
      <c r="E46" s="7">
        <f t="shared" si="16"/>
        <v>81.749444145923349</v>
      </c>
      <c r="F46" s="7"/>
      <c r="G46" s="7"/>
      <c r="H46" s="12"/>
    </row>
    <row r="47" spans="1:8" x14ac:dyDescent="0.25">
      <c r="A47" s="12"/>
      <c r="B47" s="7"/>
      <c r="C47" s="7"/>
      <c r="D47" s="7"/>
      <c r="E47" s="7"/>
      <c r="F47" s="7"/>
      <c r="G47" s="7"/>
      <c r="H47" s="12"/>
    </row>
    <row r="48" spans="1:8" x14ac:dyDescent="0.25">
      <c r="A48" s="12" t="s">
        <v>22</v>
      </c>
      <c r="B48" s="12"/>
      <c r="C48" s="12"/>
      <c r="D48" s="12"/>
      <c r="E48" s="12"/>
      <c r="F48" s="12"/>
      <c r="G48" s="12"/>
      <c r="H48" s="12"/>
    </row>
    <row r="49" spans="1:8" x14ac:dyDescent="0.25">
      <c r="A49" s="12" t="s">
        <v>23</v>
      </c>
      <c r="B49" s="7" t="e">
        <f>B12/(B13)*100</f>
        <v>#DIV/0!</v>
      </c>
      <c r="C49" s="7" t="e">
        <f>(C12+D12)/(C13)*100</f>
        <v>#DIV/0!</v>
      </c>
      <c r="D49" s="7" t="e">
        <f t="shared" ref="D49:E49" si="17">D12/(D13)*100</f>
        <v>#DIV/0!</v>
      </c>
      <c r="E49" s="7" t="e">
        <f t="shared" si="17"/>
        <v>#DIV/0!</v>
      </c>
      <c r="F49" s="7"/>
      <c r="G49" s="7"/>
      <c r="H49" s="12"/>
    </row>
    <row r="50" spans="1:8" x14ac:dyDescent="0.25">
      <c r="A50" s="12" t="s">
        <v>24</v>
      </c>
      <c r="B50" s="7">
        <f>B18/B19*100</f>
        <v>387.34483653254739</v>
      </c>
      <c r="C50" s="7">
        <f>(C18+D18)/C19*100</f>
        <v>67.770048455360936</v>
      </c>
      <c r="D50" s="7" t="e">
        <f>D18/D19*100</f>
        <v>#DIV/0!</v>
      </c>
      <c r="E50" s="7">
        <f>E18/E19*100</f>
        <v>69.55162187754911</v>
      </c>
      <c r="F50" s="7" t="e">
        <f>F18/F19*100</f>
        <v>#DIV/0!</v>
      </c>
      <c r="G50" s="7" t="e">
        <f>G18/G19*100</f>
        <v>#DIV/0!</v>
      </c>
      <c r="H50" s="12"/>
    </row>
    <row r="51" spans="1:8" x14ac:dyDescent="0.25">
      <c r="A51" s="12" t="s">
        <v>25</v>
      </c>
      <c r="B51" s="7" t="e">
        <f>(B49+B50)/2</f>
        <v>#DIV/0!</v>
      </c>
      <c r="C51" s="7" t="e">
        <f t="shared" ref="C51" si="18">(C49+C50)/2</f>
        <v>#DIV/0!</v>
      </c>
      <c r="D51" s="7" t="e">
        <f t="shared" ref="D51:E51" si="19">(D49+D50)/2</f>
        <v>#DIV/0!</v>
      </c>
      <c r="E51" s="7" t="e">
        <f t="shared" si="19"/>
        <v>#DIV/0!</v>
      </c>
      <c r="F51" s="7"/>
      <c r="G51" s="7"/>
      <c r="H51" s="12"/>
    </row>
    <row r="52" spans="1:8" x14ac:dyDescent="0.25">
      <c r="A52" s="12"/>
      <c r="B52" s="12"/>
      <c r="C52" s="12"/>
      <c r="D52" s="12"/>
      <c r="E52" s="12"/>
      <c r="F52" s="12"/>
      <c r="G52" s="12"/>
      <c r="H52" s="12"/>
    </row>
    <row r="53" spans="1:8" x14ac:dyDescent="0.25">
      <c r="A53" s="12" t="s">
        <v>57</v>
      </c>
      <c r="B53" s="12"/>
      <c r="C53" s="12"/>
      <c r="D53" s="12"/>
      <c r="E53" s="12"/>
      <c r="F53" s="12"/>
      <c r="G53" s="12"/>
      <c r="H53" s="12"/>
    </row>
    <row r="54" spans="1:8" x14ac:dyDescent="0.25">
      <c r="A54" s="12" t="s">
        <v>26</v>
      </c>
      <c r="B54" s="7">
        <f>(B20/B18)*100</f>
        <v>100</v>
      </c>
      <c r="C54" s="7">
        <f t="shared" ref="C54" si="20">(C20/C18)*100</f>
        <v>100</v>
      </c>
      <c r="D54" s="7">
        <f t="shared" ref="D54:F54" si="21">(D20/D18)*100</f>
        <v>100</v>
      </c>
      <c r="E54" s="7">
        <f t="shared" si="21"/>
        <v>100</v>
      </c>
      <c r="F54" s="7">
        <f t="shared" si="21"/>
        <v>100</v>
      </c>
      <c r="G54" s="7"/>
      <c r="H54" s="12"/>
    </row>
    <row r="55" spans="1:8" x14ac:dyDescent="0.25">
      <c r="A55" s="12"/>
      <c r="B55" s="12"/>
      <c r="C55" s="12"/>
      <c r="D55" s="12"/>
      <c r="E55" s="12"/>
      <c r="F55" s="12"/>
      <c r="G55" s="12"/>
      <c r="H55" s="12"/>
    </row>
    <row r="56" spans="1:8" x14ac:dyDescent="0.25">
      <c r="A56" s="12" t="s">
        <v>27</v>
      </c>
      <c r="B56" s="12"/>
      <c r="C56" s="12"/>
      <c r="D56" s="12"/>
      <c r="E56" s="12"/>
      <c r="F56" s="12"/>
      <c r="G56" s="12"/>
      <c r="H56" s="12"/>
    </row>
    <row r="57" spans="1:8" x14ac:dyDescent="0.25">
      <c r="A57" s="12" t="s">
        <v>28</v>
      </c>
      <c r="B57" s="7">
        <f>((B12/B10)-1)*100</f>
        <v>2.9534435165833761</v>
      </c>
      <c r="C57" s="7">
        <f>(((C12+D12)/C10)-1)*100</f>
        <v>44.074989952940882</v>
      </c>
      <c r="D57" s="7">
        <f>((D12/D10)-1)*100</f>
        <v>2.335904695817792</v>
      </c>
      <c r="E57" s="7">
        <f>((E12/E10)-1)*100</f>
        <v>8.7745767405440702</v>
      </c>
      <c r="F57" s="7"/>
      <c r="G57" s="7"/>
      <c r="H57" s="12"/>
    </row>
    <row r="58" spans="1:8" x14ac:dyDescent="0.25">
      <c r="A58" s="12" t="s">
        <v>29</v>
      </c>
      <c r="B58" s="7">
        <f>((B33/B32)-1)*100</f>
        <v>-16.331561178325572</v>
      </c>
      <c r="C58" s="7">
        <f>(((C33+D33)/C32)-1)*100</f>
        <v>-16.455389180428924</v>
      </c>
      <c r="D58" s="7">
        <f t="shared" ref="D58:G58" si="22">((D33/D32)-1)*100</f>
        <v>-0.93364380377221057</v>
      </c>
      <c r="E58" s="7">
        <f t="shared" si="22"/>
        <v>-24.7497074094296</v>
      </c>
      <c r="F58" s="7">
        <f t="shared" si="22"/>
        <v>-26.783476254217796</v>
      </c>
      <c r="G58" s="7">
        <f t="shared" si="22"/>
        <v>-31.798617226316971</v>
      </c>
      <c r="H58" s="12"/>
    </row>
    <row r="59" spans="1:8" x14ac:dyDescent="0.25">
      <c r="A59" s="12" t="s">
        <v>30</v>
      </c>
      <c r="B59" s="7">
        <f>((B35/B34)-1)*100</f>
        <v>-18.731772378067735</v>
      </c>
      <c r="C59" s="7">
        <f>(((C35+D35)/C34)-1)*100</f>
        <v>16.042424239982587</v>
      </c>
      <c r="D59" s="7">
        <f t="shared" ref="D59:E59" si="23">((D35/D34)-1)*100</f>
        <v>-3.1949182540657373</v>
      </c>
      <c r="E59" s="7">
        <f t="shared" si="23"/>
        <v>-30.819962857624262</v>
      </c>
      <c r="F59" s="7"/>
      <c r="G59" s="7"/>
      <c r="H59" s="12"/>
    </row>
    <row r="60" spans="1:8" x14ac:dyDescent="0.25">
      <c r="A60" s="12"/>
      <c r="B60" s="7"/>
      <c r="C60" s="7"/>
      <c r="D60" s="7"/>
      <c r="E60" s="7"/>
      <c r="F60" s="7"/>
      <c r="G60" s="7"/>
      <c r="H60" s="12"/>
    </row>
    <row r="61" spans="1:8" x14ac:dyDescent="0.25">
      <c r="A61" s="12" t="s">
        <v>31</v>
      </c>
      <c r="B61" s="12"/>
      <c r="C61" s="12"/>
      <c r="D61" s="12"/>
      <c r="E61" s="12"/>
      <c r="F61" s="12"/>
      <c r="G61" s="12"/>
      <c r="H61" s="12"/>
    </row>
    <row r="62" spans="1:8" x14ac:dyDescent="0.25">
      <c r="A62" s="12" t="s">
        <v>58</v>
      </c>
      <c r="B62" s="10">
        <f>B17/(B11*12)</f>
        <v>65811.076923076922</v>
      </c>
      <c r="C62" s="10">
        <f t="shared" ref="C62" si="24">C17/(C11*12)</f>
        <v>21576.923076923078</v>
      </c>
      <c r="D62" s="10" t="e">
        <f t="shared" ref="D62:E62" si="25">D17/(D11*12)</f>
        <v>#DIV/0!</v>
      </c>
      <c r="E62" s="10">
        <f t="shared" si="25"/>
        <v>65811.076923076922</v>
      </c>
      <c r="F62" s="10"/>
      <c r="G62" s="10"/>
      <c r="H62" s="12"/>
    </row>
    <row r="63" spans="1:8" x14ac:dyDescent="0.25">
      <c r="A63" s="12" t="s">
        <v>59</v>
      </c>
      <c r="B63" s="10">
        <f>B18/(B12*12)</f>
        <v>27495.847151990518</v>
      </c>
      <c r="C63" s="10">
        <f>(C18+D18)/(C12*12)</f>
        <v>20627.475992474792</v>
      </c>
      <c r="D63" s="10">
        <f t="shared" ref="D63:E63" si="26">D18/(D12*12)</f>
        <v>14796.986474072315</v>
      </c>
      <c r="E63" s="10">
        <f t="shared" si="26"/>
        <v>48721.663888791343</v>
      </c>
      <c r="F63" s="10"/>
      <c r="G63" s="10"/>
      <c r="H63" s="12"/>
    </row>
    <row r="64" spans="1:8" x14ac:dyDescent="0.25">
      <c r="A64" s="12" t="s">
        <v>32</v>
      </c>
      <c r="B64" s="27">
        <f>(B62/B63)*B46</f>
        <v>1573.0641584531904</v>
      </c>
      <c r="C64" s="27">
        <f t="shared" ref="C64" si="27">(C62/C63)*C46</f>
        <v>87.231460969758004</v>
      </c>
      <c r="D64" s="27" t="e">
        <f t="shared" ref="D64:E64" si="28">(D62/D63)*D46</f>
        <v>#DIV/0!</v>
      </c>
      <c r="E64" s="27">
        <f t="shared" si="28"/>
        <v>110.42354730302718</v>
      </c>
      <c r="F64" s="7"/>
      <c r="G64" s="7"/>
      <c r="H64" s="12"/>
    </row>
    <row r="65" spans="1:8" x14ac:dyDescent="0.25">
      <c r="A65" s="7" t="s">
        <v>69</v>
      </c>
      <c r="B65" s="10">
        <f>B17/B11</f>
        <v>789732.92307692312</v>
      </c>
      <c r="C65" s="10">
        <f t="shared" ref="C65" si="29">C17/C11</f>
        <v>258923.07692307694</v>
      </c>
      <c r="D65" s="10" t="e">
        <f t="shared" ref="D65:E66" si="30">D17/D11</f>
        <v>#DIV/0!</v>
      </c>
      <c r="E65" s="10">
        <f t="shared" si="30"/>
        <v>789732.92307692312</v>
      </c>
      <c r="F65" s="7"/>
      <c r="G65" s="7"/>
      <c r="H65" s="12"/>
    </row>
    <row r="66" spans="1:8" x14ac:dyDescent="0.25">
      <c r="A66" s="7" t="s">
        <v>70</v>
      </c>
      <c r="B66" s="10">
        <f>B18/B12</f>
        <v>329950.16582388617</v>
      </c>
      <c r="C66" s="10">
        <f>(C18+D18)/C12</f>
        <v>247529.71190969751</v>
      </c>
      <c r="D66" s="10">
        <f t="shared" si="30"/>
        <v>177563.83768886779</v>
      </c>
      <c r="E66" s="10">
        <f t="shared" si="30"/>
        <v>584659.96666549612</v>
      </c>
      <c r="F66" s="7"/>
      <c r="G66" s="7"/>
      <c r="H66" s="12"/>
    </row>
    <row r="67" spans="1:8" x14ac:dyDescent="0.25">
      <c r="A67" s="12"/>
      <c r="B67" s="7"/>
      <c r="C67" s="7"/>
      <c r="D67" s="7"/>
      <c r="E67" s="7"/>
      <c r="F67" s="7"/>
      <c r="G67" s="7"/>
      <c r="H67" s="12"/>
    </row>
    <row r="68" spans="1:8" x14ac:dyDescent="0.25">
      <c r="A68" s="12" t="s">
        <v>33</v>
      </c>
      <c r="B68" s="7"/>
      <c r="C68" s="7"/>
      <c r="D68" s="7"/>
      <c r="E68" s="7"/>
      <c r="F68" s="7"/>
      <c r="G68" s="7"/>
      <c r="H68" s="12"/>
    </row>
    <row r="69" spans="1:8" x14ac:dyDescent="0.25">
      <c r="A69" s="12" t="s">
        <v>34</v>
      </c>
      <c r="B69" s="7">
        <f>(B24/B23)*100</f>
        <v>947.30799576529455</v>
      </c>
      <c r="C69" s="7"/>
      <c r="D69" s="7"/>
      <c r="E69" s="7"/>
      <c r="F69" s="7"/>
      <c r="G69" s="7"/>
      <c r="H69" s="12"/>
    </row>
    <row r="70" spans="1:8" x14ac:dyDescent="0.25">
      <c r="A70" s="12" t="s">
        <v>35</v>
      </c>
      <c r="B70" s="7">
        <f>(B18/B24)*100</f>
        <v>40.889007404569206</v>
      </c>
      <c r="C70" s="7"/>
      <c r="D70" s="7"/>
      <c r="E70" s="7"/>
      <c r="F70" s="7"/>
      <c r="G70" s="7"/>
      <c r="H70" s="12"/>
    </row>
    <row r="71" spans="1:8" ht="15.75" thickBot="1" x14ac:dyDescent="0.3">
      <c r="A71" s="26"/>
      <c r="B71" s="26"/>
      <c r="C71" s="26"/>
      <c r="D71" s="26"/>
      <c r="E71" s="26"/>
      <c r="F71" s="26"/>
      <c r="G71" s="26"/>
      <c r="H71" s="12"/>
    </row>
    <row r="72" spans="1:8" ht="15.75" thickTop="1" x14ac:dyDescent="0.25"/>
    <row r="73" spans="1:8" x14ac:dyDescent="0.25">
      <c r="A73" s="1" t="s">
        <v>40</v>
      </c>
    </row>
    <row r="74" spans="1:8" x14ac:dyDescent="0.25">
      <c r="A74" s="1" t="s">
        <v>121</v>
      </c>
    </row>
    <row r="75" spans="1:8" x14ac:dyDescent="0.25">
      <c r="A75" s="1" t="s">
        <v>84</v>
      </c>
      <c r="B75" s="8"/>
      <c r="C75" s="8"/>
      <c r="D75" s="8"/>
      <c r="E75" s="8"/>
    </row>
    <row r="76" spans="1:8" x14ac:dyDescent="0.25">
      <c r="A76" s="1" t="s">
        <v>85</v>
      </c>
    </row>
    <row r="78" spans="1:8" x14ac:dyDescent="0.25">
      <c r="A78" s="1" t="s">
        <v>73</v>
      </c>
    </row>
    <row r="79" spans="1:8" x14ac:dyDescent="0.25">
      <c r="A79" s="1" t="s">
        <v>75</v>
      </c>
    </row>
    <row r="80" spans="1:8" x14ac:dyDescent="0.25">
      <c r="A80" s="1" t="s">
        <v>74</v>
      </c>
    </row>
  </sheetData>
  <mergeCells count="6">
    <mergeCell ref="A2:G2"/>
    <mergeCell ref="A4:A5"/>
    <mergeCell ref="B4:B5"/>
    <mergeCell ref="F4:F5"/>
    <mergeCell ref="G4:G5"/>
    <mergeCell ref="C5:D5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5" sqref="N1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III T Acumulado</vt:lpstr>
      <vt:lpstr>Anual</vt:lpstr>
      <vt:lpstr>Observaciones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catherine.mata</dc:creator>
  <cp:lastModifiedBy>Sayra Rojas Rios</cp:lastModifiedBy>
  <dcterms:created xsi:type="dcterms:W3CDTF">2012-04-23T14:39:07Z</dcterms:created>
  <dcterms:modified xsi:type="dcterms:W3CDTF">2013-10-29T20:43:35Z</dcterms:modified>
</cp:coreProperties>
</file>