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rodriguez\Documents\Hermes Cliente\files\"/>
    </mc:Choice>
  </mc:AlternateContent>
  <bookViews>
    <workbookView xWindow="360" yWindow="75" windowWidth="10515" windowHeight="4905"/>
  </bookViews>
  <sheets>
    <sheet name="I Trimestre" sheetId="4" r:id="rId1"/>
    <sheet name="II Trimestre" sheetId="7" r:id="rId2"/>
    <sheet name="III Trimestre" sheetId="8" r:id="rId3"/>
    <sheet name="IV Trimestre" sheetId="3" r:id="rId4"/>
    <sheet name="I Semestre" sheetId="9" r:id="rId5"/>
    <sheet name="III T Acumulado" sheetId="10" r:id="rId6"/>
    <sheet name="Anual" sheetId="2" r:id="rId7"/>
    <sheet name="Observaciones" sheetId="11" r:id="rId8"/>
  </sheets>
  <calcPr calcId="152511"/>
</workbook>
</file>

<file path=xl/calcChain.xml><?xml version="1.0" encoding="utf-8"?>
<calcChain xmlns="http://schemas.openxmlformats.org/spreadsheetml/2006/main">
  <c r="C47" i="4" l="1"/>
  <c r="G53" i="8" l="1"/>
  <c r="E53" i="8"/>
  <c r="C23" i="2"/>
  <c r="C23" i="10"/>
  <c r="C23" i="9"/>
  <c r="H19" i="2"/>
  <c r="I19" i="2"/>
  <c r="H20" i="2"/>
  <c r="I20" i="2"/>
  <c r="H21" i="2"/>
  <c r="I21" i="2"/>
  <c r="H22" i="2"/>
  <c r="I22" i="2"/>
  <c r="E22" i="10"/>
  <c r="H19" i="10"/>
  <c r="I19" i="10"/>
  <c r="H20" i="10"/>
  <c r="I20" i="10"/>
  <c r="H21" i="10"/>
  <c r="I21" i="10"/>
  <c r="H22" i="10"/>
  <c r="I22" i="10"/>
  <c r="H19" i="9"/>
  <c r="I19" i="9"/>
  <c r="H20" i="9"/>
  <c r="I20" i="9"/>
  <c r="H21" i="9"/>
  <c r="I21" i="9"/>
  <c r="H22" i="9"/>
  <c r="I22" i="9"/>
  <c r="G23" i="8"/>
  <c r="E23" i="8"/>
  <c r="B23" i="8" s="1"/>
  <c r="H23" i="4"/>
  <c r="H23" i="2" s="1"/>
  <c r="I23" i="4"/>
  <c r="I23" i="9" s="1"/>
  <c r="G23" i="4"/>
  <c r="E23" i="4"/>
  <c r="B21" i="8"/>
  <c r="B21" i="4"/>
  <c r="H23" i="9" l="1"/>
  <c r="B23" i="4"/>
  <c r="I23" i="10"/>
  <c r="I23" i="2"/>
  <c r="H23" i="10"/>
  <c r="E20" i="10" l="1"/>
  <c r="C14" i="2" l="1"/>
  <c r="G22" i="2"/>
  <c r="E22" i="2"/>
  <c r="B27" i="10"/>
  <c r="G19" i="10"/>
  <c r="G35" i="10" s="1"/>
  <c r="G22" i="10"/>
  <c r="C21" i="10"/>
  <c r="E19" i="10"/>
  <c r="E35" i="10" s="1"/>
  <c r="C14" i="10"/>
  <c r="G22" i="9"/>
  <c r="E22" i="9"/>
  <c r="C14" i="9"/>
  <c r="C36" i="10" l="1"/>
  <c r="G35" i="3" l="1"/>
  <c r="E35" i="3"/>
  <c r="C35" i="3"/>
  <c r="B73" i="8"/>
  <c r="E48" i="8"/>
  <c r="G36" i="8"/>
  <c r="E36" i="8"/>
  <c r="C36" i="8"/>
  <c r="B36" i="8"/>
  <c r="G35" i="8"/>
  <c r="E35" i="8"/>
  <c r="C35" i="8"/>
  <c r="C36" i="7"/>
  <c r="G35" i="7"/>
  <c r="E35" i="7"/>
  <c r="B19" i="4"/>
  <c r="E61" i="8" l="1"/>
  <c r="C61" i="8"/>
  <c r="G61" i="8"/>
  <c r="G16" i="3" l="1"/>
  <c r="G16" i="2" s="1"/>
  <c r="G15" i="3"/>
  <c r="G44" i="3" s="1"/>
  <c r="G14" i="3"/>
  <c r="G13" i="3"/>
  <c r="G43" i="3" s="1"/>
  <c r="G12" i="3"/>
  <c r="G11" i="3"/>
  <c r="G10" i="3"/>
  <c r="G37" i="3" s="1"/>
  <c r="F16" i="3"/>
  <c r="F16" i="2" s="1"/>
  <c r="F15" i="3"/>
  <c r="F44" i="3" s="1"/>
  <c r="F14" i="3"/>
  <c r="F13" i="3"/>
  <c r="F43" i="3" s="1"/>
  <c r="F12" i="3"/>
  <c r="F11" i="3"/>
  <c r="F10" i="3"/>
  <c r="E16" i="3"/>
  <c r="E16" i="2" s="1"/>
  <c r="E44" i="3"/>
  <c r="E14" i="3"/>
  <c r="E13" i="3"/>
  <c r="E43" i="3" s="1"/>
  <c r="E12" i="3"/>
  <c r="E11" i="3"/>
  <c r="E10" i="3"/>
  <c r="D16" i="3"/>
  <c r="D16" i="2" s="1"/>
  <c r="D15" i="3"/>
  <c r="D44" i="3" s="1"/>
  <c r="D14" i="3"/>
  <c r="D13" i="3"/>
  <c r="D43" i="3" s="1"/>
  <c r="D12" i="3"/>
  <c r="D11" i="3"/>
  <c r="D10" i="3"/>
  <c r="C16" i="3"/>
  <c r="C15" i="3"/>
  <c r="C44" i="3" s="1"/>
  <c r="C13" i="3"/>
  <c r="C12" i="3"/>
  <c r="C47" i="3" s="1"/>
  <c r="C11" i="3"/>
  <c r="C10" i="3"/>
  <c r="C60" i="3" s="1"/>
  <c r="G16" i="8"/>
  <c r="G16" i="10" s="1"/>
  <c r="G15" i="8"/>
  <c r="G44" i="8" s="1"/>
  <c r="G14" i="8"/>
  <c r="G13" i="8"/>
  <c r="G43" i="8" s="1"/>
  <c r="G12" i="8"/>
  <c r="G11" i="8"/>
  <c r="G10" i="8"/>
  <c r="G37" i="8" s="1"/>
  <c r="F16" i="8"/>
  <c r="F44" i="8"/>
  <c r="F13" i="8"/>
  <c r="F43" i="8" s="1"/>
  <c r="F12" i="8"/>
  <c r="F47" i="8" s="1"/>
  <c r="F11" i="8"/>
  <c r="F10" i="8"/>
  <c r="F60" i="8" s="1"/>
  <c r="E16" i="8"/>
  <c r="E16" i="10" s="1"/>
  <c r="E44" i="8"/>
  <c r="E14" i="8"/>
  <c r="E13" i="8"/>
  <c r="E43" i="8" s="1"/>
  <c r="E12" i="8"/>
  <c r="E11" i="8"/>
  <c r="E10" i="8"/>
  <c r="D16" i="8"/>
  <c r="D44" i="8"/>
  <c r="D13" i="8"/>
  <c r="D43" i="8" s="1"/>
  <c r="D12" i="8"/>
  <c r="D47" i="8" s="1"/>
  <c r="D11" i="8"/>
  <c r="D10" i="8"/>
  <c r="D60" i="8" s="1"/>
  <c r="C16" i="8"/>
  <c r="C15" i="8"/>
  <c r="C44" i="8" s="1"/>
  <c r="C13" i="8"/>
  <c r="C43" i="8" s="1"/>
  <c r="C12" i="8"/>
  <c r="C47" i="8" s="1"/>
  <c r="C11" i="8"/>
  <c r="C10" i="8"/>
  <c r="C60" i="8" s="1"/>
  <c r="G16" i="7"/>
  <c r="G16" i="9" s="1"/>
  <c r="G15" i="7"/>
  <c r="G44" i="7" s="1"/>
  <c r="G14" i="7"/>
  <c r="G13" i="7"/>
  <c r="G43" i="7" s="1"/>
  <c r="G12" i="7"/>
  <c r="G11" i="7"/>
  <c r="G10" i="7"/>
  <c r="G37" i="7" s="1"/>
  <c r="F16" i="7"/>
  <c r="F44" i="7"/>
  <c r="F13" i="7"/>
  <c r="F43" i="7" s="1"/>
  <c r="F12" i="7"/>
  <c r="F47" i="7" s="1"/>
  <c r="F11" i="7"/>
  <c r="F10" i="7"/>
  <c r="F60" i="7" s="1"/>
  <c r="E16" i="7"/>
  <c r="E16" i="9" s="1"/>
  <c r="E44" i="7"/>
  <c r="E14" i="7"/>
  <c r="E13" i="7"/>
  <c r="E43" i="7" s="1"/>
  <c r="E12" i="7"/>
  <c r="E11" i="7"/>
  <c r="E10" i="7"/>
  <c r="D16" i="7"/>
  <c r="D16" i="9" s="1"/>
  <c r="D15" i="7"/>
  <c r="D44" i="7" s="1"/>
  <c r="D14" i="7"/>
  <c r="D13" i="7"/>
  <c r="D43" i="7" s="1"/>
  <c r="D12" i="7"/>
  <c r="D11" i="7"/>
  <c r="D10" i="7"/>
  <c r="C16" i="7"/>
  <c r="C52" i="7" s="1"/>
  <c r="C15" i="7"/>
  <c r="C44" i="7" s="1"/>
  <c r="C13" i="7"/>
  <c r="C43" i="7" s="1"/>
  <c r="C12" i="7"/>
  <c r="C47" i="7" s="1"/>
  <c r="C11" i="7"/>
  <c r="C10" i="7"/>
  <c r="C60" i="7" s="1"/>
  <c r="G16" i="4"/>
  <c r="G15" i="4"/>
  <c r="G44" i="4" s="1"/>
  <c r="G14" i="4"/>
  <c r="G13" i="4"/>
  <c r="G12" i="4"/>
  <c r="G11" i="4"/>
  <c r="G10" i="4"/>
  <c r="F16" i="4"/>
  <c r="F15" i="4"/>
  <c r="F14" i="4"/>
  <c r="F13" i="4"/>
  <c r="F12" i="4"/>
  <c r="F11" i="4"/>
  <c r="F10" i="4"/>
  <c r="E16" i="4"/>
  <c r="E44" i="4"/>
  <c r="E14" i="4"/>
  <c r="E13" i="4"/>
  <c r="E12" i="4"/>
  <c r="E11" i="4"/>
  <c r="E10" i="4"/>
  <c r="D16" i="4"/>
  <c r="D15" i="4"/>
  <c r="D14" i="4"/>
  <c r="D13" i="4"/>
  <c r="D12" i="4"/>
  <c r="D11" i="4"/>
  <c r="D10" i="4"/>
  <c r="C16" i="4"/>
  <c r="C11" i="4"/>
  <c r="C10" i="4"/>
  <c r="C60" i="4" s="1"/>
  <c r="C22" i="3"/>
  <c r="C22" i="2" s="1"/>
  <c r="C20" i="3"/>
  <c r="C22" i="8"/>
  <c r="C20" i="8"/>
  <c r="C22" i="7"/>
  <c r="C22" i="4"/>
  <c r="B16" i="4" l="1"/>
  <c r="C52" i="4"/>
  <c r="E47" i="4"/>
  <c r="E52" i="4"/>
  <c r="E60" i="4"/>
  <c r="G47" i="4"/>
  <c r="G52" i="4"/>
  <c r="G60" i="4"/>
  <c r="E60" i="7"/>
  <c r="E47" i="7"/>
  <c r="E52" i="7"/>
  <c r="F16" i="9"/>
  <c r="F52" i="7"/>
  <c r="E47" i="8"/>
  <c r="E49" i="8" s="1"/>
  <c r="E52" i="8"/>
  <c r="E60" i="8"/>
  <c r="F16" i="10"/>
  <c r="F52" i="8"/>
  <c r="D47" i="3"/>
  <c r="D52" i="3"/>
  <c r="D60" i="3"/>
  <c r="F47" i="3"/>
  <c r="F52" i="3"/>
  <c r="F60" i="3"/>
  <c r="D60" i="4"/>
  <c r="D47" i="4"/>
  <c r="D52" i="4"/>
  <c r="F60" i="4"/>
  <c r="F47" i="4"/>
  <c r="F52" i="4"/>
  <c r="D47" i="7"/>
  <c r="D52" i="7"/>
  <c r="D60" i="7"/>
  <c r="G60" i="7"/>
  <c r="G47" i="7"/>
  <c r="G52" i="7"/>
  <c r="C16" i="10"/>
  <c r="C52" i="8"/>
  <c r="D16" i="10"/>
  <c r="D52" i="8"/>
  <c r="G47" i="8"/>
  <c r="G52" i="8"/>
  <c r="G54" i="8" s="1"/>
  <c r="G60" i="8"/>
  <c r="C16" i="2"/>
  <c r="C52" i="2" s="1"/>
  <c r="C52" i="3"/>
  <c r="E60" i="3"/>
  <c r="E47" i="3"/>
  <c r="E52" i="3"/>
  <c r="G60" i="3"/>
  <c r="G47" i="3"/>
  <c r="G52" i="3"/>
  <c r="C53" i="4"/>
  <c r="B22" i="4"/>
  <c r="B53" i="4" s="1"/>
  <c r="C65" i="8"/>
  <c r="C68" i="8"/>
  <c r="C48" i="8"/>
  <c r="C49" i="8" s="1"/>
  <c r="C10" i="2"/>
  <c r="C60" i="2" s="1"/>
  <c r="C10" i="10"/>
  <c r="C60" i="10" s="1"/>
  <c r="C10" i="9"/>
  <c r="C60" i="9" s="1"/>
  <c r="C15" i="2"/>
  <c r="C44" i="2" s="1"/>
  <c r="C15" i="10"/>
  <c r="C15" i="9"/>
  <c r="C44" i="9" s="1"/>
  <c r="D12" i="2"/>
  <c r="D12" i="10"/>
  <c r="D12" i="9"/>
  <c r="E13" i="2"/>
  <c r="E43" i="2" s="1"/>
  <c r="E13" i="10"/>
  <c r="E43" i="10" s="1"/>
  <c r="E13" i="9"/>
  <c r="E43" i="9" s="1"/>
  <c r="F10" i="2"/>
  <c r="F10" i="10"/>
  <c r="F10" i="9"/>
  <c r="C53" i="7"/>
  <c r="B22" i="7"/>
  <c r="C22" i="9"/>
  <c r="B22" i="9" s="1"/>
  <c r="C53" i="8"/>
  <c r="C22" i="10"/>
  <c r="B22" i="8"/>
  <c r="B53" i="8" s="1"/>
  <c r="C11" i="2"/>
  <c r="C11" i="10"/>
  <c r="C11" i="9"/>
  <c r="C13" i="2"/>
  <c r="C43" i="2" s="1"/>
  <c r="C13" i="10"/>
  <c r="C13" i="9"/>
  <c r="C43" i="9" s="1"/>
  <c r="B13" i="4"/>
  <c r="B43" i="4" s="1"/>
  <c r="D11" i="2"/>
  <c r="D11" i="10"/>
  <c r="D11" i="9"/>
  <c r="D13" i="2"/>
  <c r="D43" i="2" s="1"/>
  <c r="D13" i="10"/>
  <c r="D43" i="10" s="1"/>
  <c r="D13" i="9"/>
  <c r="D43" i="9" s="1"/>
  <c r="D15" i="2"/>
  <c r="D44" i="2" s="1"/>
  <c r="D15" i="10"/>
  <c r="D44" i="10" s="1"/>
  <c r="D15" i="9"/>
  <c r="D44" i="9" s="1"/>
  <c r="E10" i="2"/>
  <c r="E10" i="10"/>
  <c r="E10" i="9"/>
  <c r="E12" i="2"/>
  <c r="E12" i="10"/>
  <c r="E12" i="9"/>
  <c r="E14" i="2"/>
  <c r="E14" i="10"/>
  <c r="E14" i="9"/>
  <c r="F11" i="2"/>
  <c r="F11" i="10"/>
  <c r="F11" i="9"/>
  <c r="F13" i="2"/>
  <c r="F43" i="2" s="1"/>
  <c r="F13" i="10"/>
  <c r="F43" i="10" s="1"/>
  <c r="F13" i="9"/>
  <c r="F43" i="9" s="1"/>
  <c r="F15" i="2"/>
  <c r="F44" i="2" s="1"/>
  <c r="F15" i="10"/>
  <c r="F44" i="10" s="1"/>
  <c r="F15" i="9"/>
  <c r="F44" i="9" s="1"/>
  <c r="G10" i="2"/>
  <c r="G10" i="10"/>
  <c r="G10" i="9"/>
  <c r="G12" i="2"/>
  <c r="G12" i="10"/>
  <c r="G12" i="9"/>
  <c r="G14" i="2"/>
  <c r="G66" i="4"/>
  <c r="G14" i="10"/>
  <c r="G14" i="9"/>
  <c r="C16" i="9"/>
  <c r="C52" i="9" s="1"/>
  <c r="B16" i="7"/>
  <c r="E37" i="7"/>
  <c r="E65" i="7"/>
  <c r="E68" i="7"/>
  <c r="E37" i="8"/>
  <c r="E68" i="8"/>
  <c r="E65" i="8"/>
  <c r="E66" i="8"/>
  <c r="E69" i="8"/>
  <c r="E38" i="8"/>
  <c r="E62" i="8" s="1"/>
  <c r="G69" i="8"/>
  <c r="G66" i="8"/>
  <c r="G38" i="8"/>
  <c r="G62" i="8" s="1"/>
  <c r="B13" i="3"/>
  <c r="B43" i="3" s="1"/>
  <c r="C43" i="3"/>
  <c r="E37" i="3"/>
  <c r="E65" i="3"/>
  <c r="E68" i="3"/>
  <c r="F43" i="4"/>
  <c r="D43" i="4"/>
  <c r="C44" i="4"/>
  <c r="E65" i="4"/>
  <c r="G68" i="4"/>
  <c r="G69" i="4"/>
  <c r="C68" i="3"/>
  <c r="C65" i="3"/>
  <c r="C12" i="2"/>
  <c r="C47" i="2" s="1"/>
  <c r="C12" i="10"/>
  <c r="C47" i="10" s="1"/>
  <c r="C12" i="9"/>
  <c r="C47" i="9" s="1"/>
  <c r="B12" i="4"/>
  <c r="D10" i="2"/>
  <c r="D10" i="10"/>
  <c r="D10" i="9"/>
  <c r="D14" i="2"/>
  <c r="D14" i="10"/>
  <c r="D14" i="9"/>
  <c r="E11" i="2"/>
  <c r="E11" i="10"/>
  <c r="E11" i="9"/>
  <c r="E15" i="2"/>
  <c r="E44" i="2" s="1"/>
  <c r="E15" i="10"/>
  <c r="E44" i="10" s="1"/>
  <c r="E15" i="9"/>
  <c r="E44" i="9" s="1"/>
  <c r="F12" i="2"/>
  <c r="F12" i="10"/>
  <c r="E65" i="10" s="1"/>
  <c r="F12" i="9"/>
  <c r="F14" i="2"/>
  <c r="F14" i="10"/>
  <c r="F14" i="9"/>
  <c r="G11" i="2"/>
  <c r="G11" i="10"/>
  <c r="G11" i="9"/>
  <c r="G13" i="2"/>
  <c r="G43" i="2" s="1"/>
  <c r="G13" i="10"/>
  <c r="G43" i="10" s="1"/>
  <c r="G13" i="9"/>
  <c r="G43" i="9" s="1"/>
  <c r="G15" i="2"/>
  <c r="G44" i="2" s="1"/>
  <c r="G15" i="10"/>
  <c r="G44" i="10" s="1"/>
  <c r="G15" i="9"/>
  <c r="G44" i="9" s="1"/>
  <c r="C66" i="7"/>
  <c r="C69" i="7"/>
  <c r="C38" i="7"/>
  <c r="C37" i="8"/>
  <c r="C69" i="8"/>
  <c r="C66" i="8"/>
  <c r="C38" i="8"/>
  <c r="C37" i="3"/>
  <c r="G43" i="4"/>
  <c r="E43" i="4"/>
  <c r="C43" i="4"/>
  <c r="F44" i="4"/>
  <c r="D44" i="4"/>
  <c r="G65" i="4"/>
  <c r="E66" i="4"/>
  <c r="E68" i="4"/>
  <c r="E69" i="4"/>
  <c r="C66" i="4"/>
  <c r="C69" i="4"/>
  <c r="G20" i="3"/>
  <c r="G20" i="8"/>
  <c r="G20" i="7"/>
  <c r="C54" i="7" l="1"/>
  <c r="C62" i="8"/>
  <c r="E54" i="8"/>
  <c r="F60" i="9"/>
  <c r="F47" i="9"/>
  <c r="F52" i="9"/>
  <c r="F60" i="2"/>
  <c r="F47" i="2"/>
  <c r="F52" i="2"/>
  <c r="D60" i="9"/>
  <c r="D47" i="9"/>
  <c r="D52" i="9"/>
  <c r="D60" i="2"/>
  <c r="D47" i="2"/>
  <c r="D52" i="2"/>
  <c r="G60" i="10"/>
  <c r="G47" i="10"/>
  <c r="G52" i="10"/>
  <c r="G47" i="2"/>
  <c r="G52" i="2"/>
  <c r="G60" i="2"/>
  <c r="E47" i="9"/>
  <c r="E52" i="9"/>
  <c r="E60" i="9"/>
  <c r="E47" i="2"/>
  <c r="E52" i="2"/>
  <c r="E60" i="2"/>
  <c r="C54" i="8"/>
  <c r="C54" i="4"/>
  <c r="F47" i="10"/>
  <c r="F52" i="10"/>
  <c r="F60" i="10"/>
  <c r="D47" i="10"/>
  <c r="D52" i="10"/>
  <c r="D60" i="10"/>
  <c r="G47" i="9"/>
  <c r="G52" i="9"/>
  <c r="G60" i="9"/>
  <c r="E60" i="10"/>
  <c r="E47" i="10"/>
  <c r="E52" i="10"/>
  <c r="B16" i="10"/>
  <c r="C52" i="10"/>
  <c r="G20" i="10"/>
  <c r="G68" i="7"/>
  <c r="G65" i="7"/>
  <c r="G68" i="3"/>
  <c r="G65" i="3"/>
  <c r="C66" i="10"/>
  <c r="C69" i="10"/>
  <c r="C38" i="10"/>
  <c r="E67" i="8"/>
  <c r="E37" i="10"/>
  <c r="B11" i="10"/>
  <c r="B15" i="10"/>
  <c r="B44" i="10" s="1"/>
  <c r="C44" i="10"/>
  <c r="G65" i="8"/>
  <c r="G68" i="8"/>
  <c r="G48" i="8"/>
  <c r="G49" i="8" s="1"/>
  <c r="B12" i="10"/>
  <c r="G37" i="10"/>
  <c r="B14" i="10"/>
  <c r="B52" i="10" s="1"/>
  <c r="E68" i="10"/>
  <c r="B13" i="10"/>
  <c r="B43" i="10" s="1"/>
  <c r="C43" i="10"/>
  <c r="B22" i="10"/>
  <c r="C53" i="10"/>
  <c r="B10" i="10"/>
  <c r="C67" i="8"/>
  <c r="C21" i="3"/>
  <c r="G21" i="3"/>
  <c r="E21" i="3"/>
  <c r="C54" i="10" l="1"/>
  <c r="B60" i="10"/>
  <c r="G53" i="3"/>
  <c r="G54" i="3" s="1"/>
  <c r="G23" i="3"/>
  <c r="G66" i="3"/>
  <c r="G48" i="3"/>
  <c r="G49" i="3" s="1"/>
  <c r="G67" i="3" s="1"/>
  <c r="G69" i="3"/>
  <c r="G36" i="3"/>
  <c r="B47" i="10"/>
  <c r="G67" i="8"/>
  <c r="E23" i="3"/>
  <c r="E53" i="3"/>
  <c r="E54" i="3" s="1"/>
  <c r="E69" i="3"/>
  <c r="E36" i="3"/>
  <c r="E66" i="3"/>
  <c r="E48" i="3"/>
  <c r="E49" i="3" s="1"/>
  <c r="C53" i="3"/>
  <c r="C54" i="3" s="1"/>
  <c r="B21" i="3"/>
  <c r="C66" i="3"/>
  <c r="C48" i="3"/>
  <c r="C49" i="3" s="1"/>
  <c r="C69" i="3"/>
  <c r="C36" i="3"/>
  <c r="G68" i="10"/>
  <c r="G65" i="10"/>
  <c r="B11" i="9"/>
  <c r="B23" i="3" l="1"/>
  <c r="C61" i="3"/>
  <c r="C38" i="3"/>
  <c r="C62" i="3" s="1"/>
  <c r="B36" i="3"/>
  <c r="B73" i="3"/>
  <c r="E61" i="3"/>
  <c r="E38" i="3"/>
  <c r="E62" i="3" s="1"/>
  <c r="G61" i="3"/>
  <c r="G38" i="3"/>
  <c r="G62" i="3" s="1"/>
  <c r="C67" i="3"/>
  <c r="E67" i="3"/>
  <c r="B11" i="2"/>
  <c r="G36" i="4"/>
  <c r="G38" i="4" s="1"/>
  <c r="B13" i="8"/>
  <c r="B43" i="8" s="1"/>
  <c r="B13" i="7"/>
  <c r="B43" i="7" s="1"/>
  <c r="B11" i="4"/>
  <c r="B11" i="7"/>
  <c r="B11" i="8"/>
  <c r="B11" i="3"/>
  <c r="B15" i="3"/>
  <c r="B44" i="3" s="1"/>
  <c r="B15" i="4"/>
  <c r="B44" i="4" s="1"/>
  <c r="B15" i="8"/>
  <c r="B44" i="8" s="1"/>
  <c r="E21" i="7"/>
  <c r="B15" i="7"/>
  <c r="B44" i="7" s="1"/>
  <c r="E21" i="10" l="1"/>
  <c r="E53" i="7"/>
  <c r="E54" i="7" s="1"/>
  <c r="E23" i="7"/>
  <c r="E69" i="7"/>
  <c r="E66" i="7"/>
  <c r="E48" i="7"/>
  <c r="E49" i="7" s="1"/>
  <c r="E36" i="7"/>
  <c r="B10" i="4"/>
  <c r="B14" i="4"/>
  <c r="B52" i="4" s="1"/>
  <c r="B60" i="4" l="1"/>
  <c r="E61" i="7"/>
  <c r="E38" i="7"/>
  <c r="E62" i="7" s="1"/>
  <c r="E67" i="7"/>
  <c r="E23" i="9"/>
  <c r="E23" i="2"/>
  <c r="E23" i="10"/>
  <c r="E53" i="10"/>
  <c r="E54" i="10" s="1"/>
  <c r="E66" i="10"/>
  <c r="E36" i="10"/>
  <c r="E48" i="10"/>
  <c r="E69" i="10"/>
  <c r="B66" i="4"/>
  <c r="B69" i="4"/>
  <c r="C20" i="7"/>
  <c r="C20" i="4"/>
  <c r="E49" i="10" l="1"/>
  <c r="E67" i="10" s="1"/>
  <c r="B20" i="7"/>
  <c r="C68" i="7"/>
  <c r="C48" i="7"/>
  <c r="C49" i="7" s="1"/>
  <c r="C65" i="7"/>
  <c r="B20" i="4"/>
  <c r="C20" i="10"/>
  <c r="C68" i="4"/>
  <c r="C65" i="4"/>
  <c r="E61" i="10"/>
  <c r="E38" i="10"/>
  <c r="E62" i="10" s="1"/>
  <c r="B27" i="2"/>
  <c r="G20" i="2"/>
  <c r="G36" i="2" s="1"/>
  <c r="G19" i="2"/>
  <c r="E20" i="2"/>
  <c r="E19" i="2"/>
  <c r="B26" i="4" l="1"/>
  <c r="B72" i="4" s="1"/>
  <c r="B68" i="4"/>
  <c r="B65" i="4"/>
  <c r="C67" i="7"/>
  <c r="B20" i="10"/>
  <c r="C65" i="10"/>
  <c r="C48" i="10"/>
  <c r="C49" i="10" s="1"/>
  <c r="C68" i="10"/>
  <c r="E68" i="2"/>
  <c r="E65" i="2"/>
  <c r="G68" i="2"/>
  <c r="G65" i="2"/>
  <c r="C20" i="2"/>
  <c r="C21" i="2"/>
  <c r="C53" i="2" s="1"/>
  <c r="C54" i="2" s="1"/>
  <c r="B27" i="9"/>
  <c r="G20" i="9"/>
  <c r="G19" i="9"/>
  <c r="G35" i="9" s="1"/>
  <c r="G37" i="9" s="1"/>
  <c r="E20" i="9"/>
  <c r="E19" i="9"/>
  <c r="E35" i="9" s="1"/>
  <c r="E37" i="9" s="1"/>
  <c r="C20" i="9"/>
  <c r="B20" i="9" s="1"/>
  <c r="C21" i="9"/>
  <c r="C53" i="9" l="1"/>
  <c r="C54" i="9" s="1"/>
  <c r="C67" i="10"/>
  <c r="B65" i="10"/>
  <c r="B68" i="10"/>
  <c r="C65" i="9"/>
  <c r="C68" i="9"/>
  <c r="E65" i="9"/>
  <c r="E68" i="9"/>
  <c r="G65" i="9"/>
  <c r="G68" i="9"/>
  <c r="C66" i="2"/>
  <c r="C69" i="2"/>
  <c r="C48" i="2"/>
  <c r="C49" i="2" s="1"/>
  <c r="C66" i="9"/>
  <c r="C48" i="9"/>
  <c r="C49" i="9" s="1"/>
  <c r="C36" i="9"/>
  <c r="C69" i="9"/>
  <c r="C65" i="2"/>
  <c r="C68" i="2"/>
  <c r="B15" i="2"/>
  <c r="B44" i="2" s="1"/>
  <c r="B13" i="2"/>
  <c r="B43" i="2" s="1"/>
  <c r="B15" i="9"/>
  <c r="B44" i="9" s="1"/>
  <c r="B13" i="9"/>
  <c r="B43" i="9" s="1"/>
  <c r="B14" i="2"/>
  <c r="B12" i="2"/>
  <c r="G38" i="2"/>
  <c r="B14" i="9"/>
  <c r="C36" i="2"/>
  <c r="G35" i="2"/>
  <c r="G61" i="2" s="1"/>
  <c r="E35" i="2"/>
  <c r="E37" i="2" s="1"/>
  <c r="B22" i="2"/>
  <c r="B20" i="2"/>
  <c r="B16" i="2"/>
  <c r="B16" i="9"/>
  <c r="B12" i="9"/>
  <c r="B22" i="3"/>
  <c r="B53" i="3" s="1"/>
  <c r="B20" i="3"/>
  <c r="B19" i="3"/>
  <c r="B35" i="3" s="1"/>
  <c r="B16" i="3"/>
  <c r="B14" i="3"/>
  <c r="B52" i="3" s="1"/>
  <c r="B54" i="3" s="1"/>
  <c r="B12" i="3"/>
  <c r="B10" i="3"/>
  <c r="B52" i="9" l="1"/>
  <c r="C67" i="2"/>
  <c r="B37" i="3"/>
  <c r="B61" i="3"/>
  <c r="B65" i="3"/>
  <c r="B68" i="3"/>
  <c r="B48" i="3"/>
  <c r="B65" i="2"/>
  <c r="B68" i="2"/>
  <c r="B52" i="2"/>
  <c r="B47" i="2"/>
  <c r="B69" i="3"/>
  <c r="B66" i="3"/>
  <c r="B60" i="3"/>
  <c r="B47" i="3"/>
  <c r="B49" i="3" s="1"/>
  <c r="B38" i="3"/>
  <c r="B62" i="3" s="1"/>
  <c r="C38" i="9"/>
  <c r="B65" i="9"/>
  <c r="C67" i="9"/>
  <c r="B68" i="9"/>
  <c r="B47" i="9"/>
  <c r="B26" i="3"/>
  <c r="B72" i="3" s="1"/>
  <c r="G37" i="2"/>
  <c r="G62" i="2" s="1"/>
  <c r="C38" i="2"/>
  <c r="B20" i="8"/>
  <c r="B19" i="8"/>
  <c r="B35" i="8" s="1"/>
  <c r="B16" i="8"/>
  <c r="B14" i="8"/>
  <c r="B12" i="8"/>
  <c r="B10" i="8"/>
  <c r="G21" i="7"/>
  <c r="C19" i="7"/>
  <c r="B14" i="7"/>
  <c r="B52" i="7" s="1"/>
  <c r="B12" i="7"/>
  <c r="B10" i="7"/>
  <c r="B52" i="8" l="1"/>
  <c r="B54" i="8" s="1"/>
  <c r="B68" i="7"/>
  <c r="B65" i="7"/>
  <c r="C19" i="10"/>
  <c r="C35" i="7"/>
  <c r="B37" i="8"/>
  <c r="B61" i="8"/>
  <c r="G53" i="7"/>
  <c r="G54" i="7" s="1"/>
  <c r="G23" i="7"/>
  <c r="G21" i="10"/>
  <c r="G66" i="7"/>
  <c r="G48" i="7"/>
  <c r="G49" i="7" s="1"/>
  <c r="G36" i="7"/>
  <c r="G69" i="7"/>
  <c r="B21" i="7"/>
  <c r="B66" i="7" s="1"/>
  <c r="B68" i="8"/>
  <c r="B48" i="8"/>
  <c r="B65" i="8"/>
  <c r="B67" i="3"/>
  <c r="B69" i="8"/>
  <c r="B66" i="8"/>
  <c r="B60" i="8"/>
  <c r="B47" i="8"/>
  <c r="B49" i="8" s="1"/>
  <c r="B38" i="8"/>
  <c r="B62" i="8" s="1"/>
  <c r="B60" i="7"/>
  <c r="B47" i="7"/>
  <c r="B19" i="7"/>
  <c r="B35" i="7" s="1"/>
  <c r="B37" i="7" s="1"/>
  <c r="B26" i="7"/>
  <c r="E21" i="2"/>
  <c r="E53" i="2" s="1"/>
  <c r="E54" i="2" s="1"/>
  <c r="E21" i="9"/>
  <c r="C19" i="2"/>
  <c r="C19" i="9"/>
  <c r="C35" i="9" s="1"/>
  <c r="G21" i="2"/>
  <c r="G53" i="2" s="1"/>
  <c r="G54" i="2" s="1"/>
  <c r="G21" i="9"/>
  <c r="G53" i="9" s="1"/>
  <c r="G54" i="9" s="1"/>
  <c r="B26" i="8"/>
  <c r="B72" i="8" s="1"/>
  <c r="G53" i="4"/>
  <c r="E53" i="4"/>
  <c r="E54" i="4" s="1"/>
  <c r="G48" i="4"/>
  <c r="E48" i="4"/>
  <c r="E49" i="4" s="1"/>
  <c r="C48" i="4"/>
  <c r="C49" i="4" s="1"/>
  <c r="E36" i="4"/>
  <c r="E38" i="4" s="1"/>
  <c r="C36" i="4"/>
  <c r="C38" i="4" s="1"/>
  <c r="G35" i="4"/>
  <c r="G37" i="4" s="1"/>
  <c r="E35" i="4"/>
  <c r="E37" i="4" s="1"/>
  <c r="C35" i="4"/>
  <c r="C37" i="4" s="1"/>
  <c r="B35" i="4"/>
  <c r="B37" i="4" s="1"/>
  <c r="B69" i="7" l="1"/>
  <c r="E53" i="9"/>
  <c r="E54" i="9" s="1"/>
  <c r="B21" i="9"/>
  <c r="B53" i="9" s="1"/>
  <c r="B54" i="9" s="1"/>
  <c r="B53" i="7"/>
  <c r="B54" i="7" s="1"/>
  <c r="B73" i="7"/>
  <c r="B48" i="7"/>
  <c r="B49" i="7" s="1"/>
  <c r="B67" i="7" s="1"/>
  <c r="B36" i="7"/>
  <c r="G61" i="7"/>
  <c r="G38" i="7"/>
  <c r="G62" i="7" s="1"/>
  <c r="G67" i="7"/>
  <c r="G23" i="9"/>
  <c r="B23" i="9" s="1"/>
  <c r="G23" i="10"/>
  <c r="B23" i="10" s="1"/>
  <c r="G23" i="2"/>
  <c r="B23" i="7"/>
  <c r="C37" i="7"/>
  <c r="C62" i="7" s="1"/>
  <c r="C61" i="7"/>
  <c r="G53" i="10"/>
  <c r="G54" i="10" s="1"/>
  <c r="G69" i="10"/>
  <c r="G66" i="10"/>
  <c r="G36" i="10"/>
  <c r="G48" i="10"/>
  <c r="G49" i="10" s="1"/>
  <c r="B21" i="10"/>
  <c r="B19" i="10"/>
  <c r="B35" i="10" s="1"/>
  <c r="B37" i="10" s="1"/>
  <c r="C35" i="10"/>
  <c r="B21" i="2"/>
  <c r="B66" i="2" s="1"/>
  <c r="B26" i="9"/>
  <c r="B72" i="9" s="1"/>
  <c r="B26" i="10"/>
  <c r="B72" i="10" s="1"/>
  <c r="B72" i="7"/>
  <c r="B67" i="8"/>
  <c r="G66" i="9"/>
  <c r="G69" i="9"/>
  <c r="G48" i="9"/>
  <c r="G49" i="9" s="1"/>
  <c r="G36" i="9"/>
  <c r="C37" i="9"/>
  <c r="C62" i="9" s="1"/>
  <c r="C61" i="9"/>
  <c r="E69" i="9"/>
  <c r="E66" i="9"/>
  <c r="E48" i="9"/>
  <c r="E49" i="9" s="1"/>
  <c r="E36" i="9"/>
  <c r="G69" i="2"/>
  <c r="G66" i="2"/>
  <c r="G48" i="2"/>
  <c r="G49" i="2" s="1"/>
  <c r="E66" i="2"/>
  <c r="E48" i="2"/>
  <c r="E49" i="2" s="1"/>
  <c r="E69" i="2"/>
  <c r="B73" i="4"/>
  <c r="G62" i="4"/>
  <c r="G61" i="4"/>
  <c r="G49" i="4"/>
  <c r="G67" i="4" s="1"/>
  <c r="G54" i="4"/>
  <c r="B10" i="2"/>
  <c r="B60" i="2" s="1"/>
  <c r="E36" i="2"/>
  <c r="B19" i="9"/>
  <c r="B35" i="9" s="1"/>
  <c r="C35" i="2"/>
  <c r="C61" i="2" s="1"/>
  <c r="B19" i="2"/>
  <c r="B35" i="2" s="1"/>
  <c r="B10" i="9"/>
  <c r="E61" i="4"/>
  <c r="E62" i="4"/>
  <c r="C61" i="4"/>
  <c r="B26" i="2"/>
  <c r="B72" i="2" s="1"/>
  <c r="C67" i="4"/>
  <c r="E67" i="4"/>
  <c r="B36" i="4"/>
  <c r="C62" i="4"/>
  <c r="B47" i="4"/>
  <c r="B48" i="4"/>
  <c r="G67" i="10" l="1"/>
  <c r="B66" i="9"/>
  <c r="C37" i="10"/>
  <c r="C62" i="10" s="1"/>
  <c r="C61" i="10"/>
  <c r="B53" i="10"/>
  <c r="B54" i="10" s="1"/>
  <c r="B73" i="10"/>
  <c r="B66" i="10"/>
  <c r="B69" i="10"/>
  <c r="B36" i="10"/>
  <c r="B48" i="10"/>
  <c r="B49" i="10" s="1"/>
  <c r="G61" i="10"/>
  <c r="G38" i="10"/>
  <c r="G62" i="10" s="1"/>
  <c r="B61" i="7"/>
  <c r="B38" i="7"/>
  <c r="B62" i="7" s="1"/>
  <c r="B61" i="4"/>
  <c r="B38" i="4"/>
  <c r="B62" i="4" s="1"/>
  <c r="B73" i="2"/>
  <c r="B53" i="2"/>
  <c r="B54" i="2" s="1"/>
  <c r="B37" i="9"/>
  <c r="E38" i="2"/>
  <c r="E62" i="2" s="1"/>
  <c r="E61" i="2"/>
  <c r="E61" i="9"/>
  <c r="E38" i="9"/>
  <c r="E62" i="9" s="1"/>
  <c r="B48" i="2"/>
  <c r="B49" i="2" s="1"/>
  <c r="B69" i="2"/>
  <c r="E67" i="2"/>
  <c r="G67" i="2"/>
  <c r="E67" i="9"/>
  <c r="G38" i="9"/>
  <c r="G62" i="9" s="1"/>
  <c r="G61" i="9"/>
  <c r="G67" i="9"/>
  <c r="B73" i="9"/>
  <c r="B48" i="9"/>
  <c r="B49" i="9" s="1"/>
  <c r="B36" i="9"/>
  <c r="B69" i="9"/>
  <c r="B60" i="9"/>
  <c r="B37" i="2"/>
  <c r="B36" i="2"/>
  <c r="B61" i="2" s="1"/>
  <c r="C37" i="2"/>
  <c r="C62" i="2" s="1"/>
  <c r="B54" i="4"/>
  <c r="B49" i="4"/>
  <c r="B67" i="4" s="1"/>
  <c r="B38" i="10" l="1"/>
  <c r="B62" i="10" s="1"/>
  <c r="B61" i="10"/>
  <c r="B67" i="10"/>
  <c r="B67" i="2"/>
  <c r="B67" i="9"/>
  <c r="B61" i="9"/>
  <c r="B38" i="9"/>
  <c r="B62" i="9" s="1"/>
  <c r="B38" i="2"/>
  <c r="B62" i="2" s="1"/>
</calcChain>
</file>

<file path=xl/sharedStrings.xml><?xml version="1.0" encoding="utf-8"?>
<sst xmlns="http://schemas.openxmlformats.org/spreadsheetml/2006/main" count="595" uniqueCount="142">
  <si>
    <t>Indicadores propuestos aplicado a CEN-CINAI. Primer trimestre 2011</t>
  </si>
  <si>
    <t>Indicador</t>
  </si>
  <si>
    <t>Total</t>
  </si>
  <si>
    <t>Productos</t>
  </si>
  <si>
    <t>programa</t>
  </si>
  <si>
    <t>Comidas Servidas</t>
  </si>
  <si>
    <t>DAF</t>
  </si>
  <si>
    <t>Insumos</t>
  </si>
  <si>
    <t xml:space="preserve">Beneficiarios </t>
  </si>
  <si>
    <t>Efectivos 1T 2010</t>
  </si>
  <si>
    <t>Programados 1T 2011</t>
  </si>
  <si>
    <t>Efectivos 1T 2011</t>
  </si>
  <si>
    <t>Programados año 2011</t>
  </si>
  <si>
    <t>Gasto FODESAF</t>
  </si>
  <si>
    <t>En transferencias 1T 2011</t>
  </si>
  <si>
    <t>Ingresos FODESAF</t>
  </si>
  <si>
    <t>Otros insumos</t>
  </si>
  <si>
    <t>IPC (1T 2010)</t>
  </si>
  <si>
    <t>IPC (1T 2011)</t>
  </si>
  <si>
    <t>Población objetivo</t>
  </si>
  <si>
    <t>Cálculos intermedios</t>
  </si>
  <si>
    <t>Gasto efectivo real 1T 2010</t>
  </si>
  <si>
    <t>Gasto efectivo real 1T 2011</t>
  </si>
  <si>
    <t>Gasto efectivo real por beneficiario 1T 2010</t>
  </si>
  <si>
    <t>Gasto efectivo real por beneficiario 1T 2011</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</si>
  <si>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</si>
  <si>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</si>
  <si>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</si>
  <si>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</si>
  <si>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</si>
  <si>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</si>
  <si>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</si>
  <si>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</si>
  <si>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</si>
  <si>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</si>
  <si>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</si>
  <si>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</si>
  <si>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</si>
  <si>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</si>
  <si>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</si>
  <si>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</si>
  <si>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</si>
  <si>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</si>
  <si>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</si>
  <si>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</si>
  <si>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</si>
  <si>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</si>
  <si>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</si>
  <si>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</si>
  <si>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Indicadores propuestos aplicado a CEN-CINAI. Segundo trimestre 2011</t>
  </si>
  <si>
    <t>Efectivos 2T 2010</t>
  </si>
  <si>
    <t>Programados 2T 2011</t>
  </si>
  <si>
    <t>Efectivos 2T 2011</t>
  </si>
  <si>
    <t>En transferencias 2T 2011</t>
  </si>
  <si>
    <t>IPC (2T 2010)</t>
  </si>
  <si>
    <t>IPC (2T 2011)</t>
  </si>
  <si>
    <t>Gasto efectivo real 2T 2010</t>
  </si>
  <si>
    <t>Gasto efectivo real 2T 2011</t>
  </si>
  <si>
    <t>Gasto efectivo real por beneficiario 2T 2010</t>
  </si>
  <si>
    <t>Gasto efectivo real por beneficiario 2T 2011</t>
  </si>
  <si>
    <t>Informe de Liquidación FODESAF 2010.</t>
  </si>
  <si>
    <t>Plan Anual Operativo CEN-CINAI 2011.</t>
  </si>
  <si>
    <t>Indicadores propuestos aplicado a CEN-CINAI. Tercer trimestre 2011</t>
  </si>
  <si>
    <t>Efectivos 3T 2010</t>
  </si>
  <si>
    <t>Programados 3T 2011</t>
  </si>
  <si>
    <t>Efectivos 3T 2011</t>
  </si>
  <si>
    <t>En transferencias 3T 2011</t>
  </si>
  <si>
    <t>IPC (3T 2010)</t>
  </si>
  <si>
    <t>IPC (3T 2011)</t>
  </si>
  <si>
    <t>Gasto efectivo real 3T 2010</t>
  </si>
  <si>
    <t>Gasto efectivo real 3T 2011</t>
  </si>
  <si>
    <t>Gasto efectivo real por beneficiario 3T 2010</t>
  </si>
  <si>
    <t>Gasto efectivo real por beneficiario 3T 2011</t>
  </si>
  <si>
    <t>Efectivos  2010</t>
  </si>
  <si>
    <t>Programados  2011</t>
  </si>
  <si>
    <t>Efectivos  2011</t>
  </si>
  <si>
    <t>En transferencias  2011</t>
  </si>
  <si>
    <t>IPC ( 2010)</t>
  </si>
  <si>
    <t>IPC ( 2011)</t>
  </si>
  <si>
    <t>Gasto efectivo real  2010</t>
  </si>
  <si>
    <t>Gasto efectivo real  2011</t>
  </si>
  <si>
    <t>Gasto efectivo real por beneficiario  2010</t>
  </si>
  <si>
    <t>Gasto efectivo real por beneficiario  2011</t>
  </si>
  <si>
    <t>Indicadores propuestos aplicado a CEN-CINAI. Año 2011</t>
  </si>
  <si>
    <t>Indicadores propuestos aplicado a CEN-CINAI. Tercer trimestre ACUMULADO 2011</t>
  </si>
  <si>
    <t>Efectivos 1S 2010</t>
  </si>
  <si>
    <t>Programados 1S 2011</t>
  </si>
  <si>
    <t>Efectivos 1S 2011</t>
  </si>
  <si>
    <t>En transferencias 1S 2011</t>
  </si>
  <si>
    <t>IPC (1S 2010)</t>
  </si>
  <si>
    <t>IPC (1S 2011)</t>
  </si>
  <si>
    <t>Gasto efectivo real 1S 2010</t>
  </si>
  <si>
    <t>Gasto efectivo real 1S 2011</t>
  </si>
  <si>
    <t>Gasto efectivo real por beneficiario 1S 2010</t>
  </si>
  <si>
    <t>Gasto efectivo real por beneficiario 1S 2011</t>
  </si>
  <si>
    <t>Indicadores propuestos aplicado a CEN-CINAI. Primer Semestre 2011</t>
  </si>
  <si>
    <t>Indicadores propuestos aplicado a CEN-CINAI. Cuarto trimestre 2011</t>
  </si>
  <si>
    <t>Efectivos 4T 2010</t>
  </si>
  <si>
    <t>Programados 4T 2011</t>
  </si>
  <si>
    <t>Efectivos 4T 2011</t>
  </si>
  <si>
    <t>En transferencias 4T 2011</t>
  </si>
  <si>
    <t>IPC (4T 2010)</t>
  </si>
  <si>
    <t>IPC (4T 2011)</t>
  </si>
  <si>
    <t>Gasto efectivo real 4T 2010</t>
  </si>
  <si>
    <t>Gasto efectivo real 4T 2011</t>
  </si>
  <si>
    <t>Gasto efectivo real por beneficiario 4T 2010</t>
  </si>
  <si>
    <t>Gasto efectivo real por beneficiario 4T 2011</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</si>
  <si>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</si>
  <si>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</si>
  <si>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</si>
  <si>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</si>
  <si>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</si>
  <si>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</si>
  <si>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</si>
  <si>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</si>
  <si>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</si>
  <si>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</si>
  <si>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</si>
  <si>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</si>
  <si>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</si>
  <si>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700 y 800</t>
  </si>
  <si>
    <t>El cálculo de beneficiarios del trimestre se toma como el promedio de los individuos atendidos en los tres meses, debido a que el grueso de la población es la misma a través del período.</t>
  </si>
  <si>
    <t>Fuentes: Informes trimestrales, CEN CINAI, 2011</t>
  </si>
  <si>
    <t>Para el cálculo de Costos Medios por beneficiario en el caso de leche, se toma el total de beneficiarios de leche (1600, 800 y 700 grs). Debido a que no se puede separar el rubro de gasto en leche</t>
  </si>
  <si>
    <t>na</t>
  </si>
  <si>
    <t>Construcciones</t>
  </si>
  <si>
    <t>Red de cuido</t>
  </si>
  <si>
    <t>Leche  (kg)</t>
  </si>
  <si>
    <t>Los beneficiarios se miden como comidas servidas intramuros + leche 1600 para evitar la duplicación de individuos, debido a que un mismo individuo puede recibir varios beneficios del programa.</t>
  </si>
  <si>
    <t>Los beneficiarios se miden como comidas servidas intramuros+ leche 1600 para evitar la duplicación de individuos, debido a que un mismo individuo puede recibir varios beneficios del programa.</t>
  </si>
  <si>
    <t>La población objetivo se compone de niños pobres de 2 a 6 años sin atención en otras instancias como el MEP</t>
  </si>
  <si>
    <t>Programa</t>
  </si>
  <si>
    <t>Comidas servidas</t>
  </si>
  <si>
    <t>Leche</t>
  </si>
  <si>
    <t>1.600 kgr</t>
  </si>
  <si>
    <t>0.7-0,8 kgr</t>
  </si>
  <si>
    <t>Alimentos</t>
  </si>
  <si>
    <t>Paquetes</t>
  </si>
  <si>
    <t>n.a.</t>
  </si>
  <si>
    <t xml:space="preserve">Leche </t>
  </si>
  <si>
    <t>1600 grs</t>
  </si>
  <si>
    <t>700 y 800 grs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</si>
</sst>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___"/>
    <numFmt numFmtId="165" formatCode="#,##0.0"/>
    <numFmt numFmtId="166" formatCode="_(* #,##0_);_(* \(#,##0\);_(* &quot;-&quot;??_);_(@_)"/>
    <numFmt numFmtId="167" formatCode="#,##0_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2" fillId="0" borderId="0" xfId="0" applyFont="1"/>
    <xf numFmtId="164" fontId="0" fillId="0" borderId="0" xfId="0" applyNumberFormat="1" applyFill="1"/>
    <xf numFmtId="0" fontId="0" fillId="0" borderId="3" xfId="0" applyBorder="1"/>
    <xf numFmtId="165" fontId="0" fillId="0" borderId="0" xfId="0" applyNumberFormat="1"/>
    <xf numFmtId="43" fontId="0" fillId="0" borderId="0" xfId="1" applyFont="1"/>
    <xf numFmtId="166"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166" fontId="0" fillId="0" borderId="0" xfId="0" applyNumberFormat="1"/>
    <xf numFmtId="167" fontId="0" fillId="0" borderId="0" xfId="0" applyNumberFormat="1" applyFill="1"/>
    <xf numFmtId="0" fontId="0" fillId="0" borderId="0" xfId="0" applyFill="1"/>
    <xf numFmtId="0" fontId="0" fillId="0" borderId="0" xfId="0" applyFill="1" applyBorder="1"/>
    <xf numFmtId="0" fontId="0" fillId="0" borderId="0" xfId="0" applyAlignment="1">
      <alignment horizontal="center"/>
    </xf>
    <xf numFmtId="166" fontId="0" fillId="0" borderId="0" xfId="1" applyNumberFormat="1" applyFont="1" applyFill="1"/>
    <xf numFmtId="0" fontId="2" fillId="0" borderId="0" xfId="0" applyFont="1" applyFill="1"/>
    <xf numFmtId="43" fontId="0" fillId="0" borderId="0" xfId="1" applyFont="1" applyFill="1"/>
    <xf numFmtId="166" fontId="0" fillId="0" borderId="0" xfId="1" applyNumberFormat="1" applyFont="1" applyAlignment="1">
      <alignment horizontal="center"/>
    </xf>
    <xf numFmtId="166" fontId="0" fillId="0" borderId="0" xfId="1" applyNumberFormat="1" applyFont="1" applyAlignment="1">
      <alignment horizontal="left"/>
    </xf>
    <xf numFmtId="166" fontId="0" fillId="0" borderId="1" xfId="1" applyNumberFormat="1" applyFont="1" applyBorder="1" applyAlignment="1">
      <alignment horizontal="center"/>
    </xf>
    <xf numFmtId="166" fontId="0" fillId="0" borderId="3" xfId="1" applyNumberFormat="1" applyFont="1" applyBorder="1" applyAlignment="1">
      <alignment horizontal="center"/>
    </xf>
    <xf numFmtId="166" fontId="0" fillId="0" borderId="3" xfId="1" applyNumberFormat="1" applyFont="1" applyBorder="1"/>
    <xf numFmtId="166" fontId="3" fillId="0" borderId="0" xfId="1" applyNumberFormat="1" applyFont="1"/>
    <xf numFmtId="166" fontId="0" fillId="0" borderId="0" xfId="1" applyNumberFormat="1" applyFont="1" applyAlignment="1">
      <alignment horizontal="left" indent="1"/>
    </xf>
    <xf numFmtId="166" fontId="0" fillId="0" borderId="0" xfId="1" applyNumberFormat="1" applyFont="1" applyFill="1" applyBorder="1"/>
    <xf numFmtId="166" fontId="0" fillId="0" borderId="4" xfId="1" applyNumberFormat="1" applyFont="1" applyBorder="1" applyAlignment="1"/>
    <xf numFmtId="166" fontId="6" fillId="0" borderId="0" xfId="1" applyNumberFormat="1" applyFont="1" applyAlignment="1">
      <alignment horizontal="left" indent="1"/>
    </xf>
    <xf numFmtId="166" fontId="2" fillId="0" borderId="0" xfId="1" applyNumberFormat="1" applyFont="1"/>
    <xf numFmtId="43" fontId="0" fillId="0" borderId="0" xfId="1" applyNumberFormat="1" applyFont="1" applyFill="1"/>
    <xf numFmtId="43" fontId="0" fillId="0" borderId="0" xfId="1" applyNumberFormat="1" applyFont="1"/>
    <xf numFmtId="166" fontId="0" fillId="0" borderId="1" xfId="1" applyNumberFormat="1" applyFont="1" applyBorder="1" applyAlignment="1">
      <alignment horizontal="center" vertical="center"/>
    </xf>
    <xf numFmtId="166" fontId="0" fillId="0" borderId="3" xfId="1" applyNumberFormat="1" applyFont="1" applyBorder="1" applyAlignment="1">
      <alignment horizontal="center" vertical="center"/>
    </xf>
    <xf numFmtId="166" fontId="5" fillId="0" borderId="0" xfId="1" applyNumberFormat="1" applyFont="1" applyAlignment="1">
      <alignment horizontal="center"/>
    </xf>
    <xf numFmtId="166" fontId="0" fillId="0" borderId="2" xfId="1" applyNumberFormat="1" applyFont="1" applyBorder="1" applyAlignment="1">
      <alignment horizontal="center"/>
    </xf>
    <xf numFmtId="166" fontId="0" fillId="0" borderId="0" xfId="1" applyNumberFormat="1" applyFont="1" applyAlignment="1">
      <alignment horizontal="center"/>
    </xf>
    <xf numFmtId="0" fontId="5" fillId="0" borderId="0" xfId="0" applyFont="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3" fontId="0" fillId="0" borderId="0" xfId="0" applyNumberFormat="1" applyAlignment="1">
      <alignment horizontal="center"/>
    </xf>
    <xf numFmtId="3" fontId="0" fillId="0" borderId="0" xfId="0" applyNumberFormat="1" applyFill="1" applyAlignment="1">
      <alignment horizontal="center"/>
    </xf>
    <xf numFmtId="166" fontId="0" fillId="0" borderId="0" xfId="1" applyNumberFormat="1" applyFont="1" applyAlignment="1">
      <alignment horizontal="left"/>
    </xf>
    <xf numFmtId="166" fontId="0" fillId="0" borderId="3" xfId="1" applyNumberFormat="1" applyFont="1" applyBorder="1" applyAlignment="1">
      <alignment horizontal="center"/>
    </xf>
    <xf numFmtId="166" fontId="0" fillId="0" borderId="0" xfId="1" applyNumberFormat="1" applyFont="1" applyFill="1" applyAlignment="1">
      <alignment horizontal="left"/>
    </xf>
    <xf numFmtId="166" fontId="0" fillId="0" borderId="0" xfId="1" applyNumberFormat="1" applyFont="1" applyFill="1" applyAlignment="1">
      <alignment horizontal="left" indent="1"/>
    </xf>
    <xf numFmtId="166" fontId="3" fillId="0" borderId="0" xfId="1" applyNumberFormat="1" applyFont="1" applyFill="1"/>
    <xf numFmtId="166" fontId="0" fillId="0" borderId="0" xfId="1" applyNumberFormat="1" applyFont="1" applyFill="1" applyAlignment="1">
      <alignment horizontal="right"/>
    </xf>
    <xf numFmtId="166" fontId="0" fillId="0" borderId="3" xfId="1" applyNumberFormat="1" applyFont="1" applyFill="1" applyBorder="1"/>
    <xf numFmtId="0" fontId="0" fillId="0" borderId="0" xfId="0" applyFill="1" applyAlignment="1">
      <alignment horizontal="left" indent="1"/>
    </xf>
    <xf numFmtId="166" fontId="0" fillId="0" borderId="0" xfId="0" applyNumberFormat="1" applyFill="1"/>
    <xf numFmtId="0" fontId="6" fillId="0" borderId="0" xfId="0" applyFont="1" applyFill="1" applyAlignment="1">
      <alignment horizontal="left" indent="2"/>
    </xf>
    <xf numFmtId="0" fontId="0" fillId="0" borderId="0" xfId="0" applyFill="1" applyAlignment="1">
      <alignment horizontal="left"/>
    </xf>
    <xf numFmtId="2" fontId="0" fillId="0" borderId="0" xfId="0" applyNumberFormat="1" applyFill="1"/>
    <xf numFmtId="0" fontId="3" fillId="0" borderId="0" xfId="0" applyFont="1" applyFill="1"/>
    <xf numFmtId="3" fontId="0" fillId="0" borderId="0" xfId="0" applyNumberFormat="1" applyFill="1" applyAlignment="1">
      <alignment horizontal="right"/>
    </xf>
    <xf numFmtId="0" fontId="0" fillId="0" borderId="3" xfId="0" applyFill="1" applyBorder="1"/>
    <xf numFmtId="3" fontId="4" fillId="0" borderId="0" xfId="0" applyNumberFormat="1" applyFont="1" applyFill="1"/>
    <xf numFmtId="3" fontId="2" fillId="0" borderId="0" xfId="0" applyNumberFormat="1" applyFont="1" applyFill="1"/>
    <xf numFmtId="166" fontId="0" fillId="0" borderId="0" xfId="1" applyNumberFormat="1" applyFont="1" applyFill="1" applyAlignment="1">
      <alignment horizontal="center"/>
    </xf>
    <xf numFmtId="165" fontId="0" fillId="0" borderId="0" xfId="0" applyNumberFormat="1" applyFill="1"/>
    <xf numFmtId="166" fontId="0" fillId="0" borderId="0" xfId="1" applyNumberFormat="1" applyFont="1" applyFill="1" applyAlignment="1">
      <alignment horizontal="left"/>
    </xf>
    <xf numFmtId="166" fontId="6" fillId="0" borderId="0" xfId="1" applyNumberFormat="1" applyFont="1" applyFill="1" applyAlignment="1">
      <alignment horizontal="left" indent="2"/>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Cobertura</a:t>
            </a:r>
          </a:p>
        </c:rich>
      </c:tx>
      <c:layout/>
      <c:overlay val="0"/>
    </c:title>
    <c:autoTitleDeleted val="0"/>
    <c:plotArea>
      <c:layout>
        <c:manualLayout>
          <c:layoutTarget val="inner"/>
          <c:xMode val="edge"/>
          <c:yMode val="edge"/>
          <c:x val="9.1924470606222775E-2"/>
          <c:y val="0.17810601071332394"/>
          <c:w val="0.77333665593753409"/>
          <c:h val="0.40834734222749081"/>
        </c:manualLayout>
      </c:layout>
      <c:barChart>
        <c:barDir val="col"/>
        <c:grouping val="clustered"/>
        <c:varyColors val="0"/>
        <c:ser>
          <c:idx val="0"/>
          <c:order val="0"/>
          <c:tx>
            <c:strRef>
              <c:f>'I Trimestre'!$A$43</c:f>
              <c:strCache>
                <c:ptCount val="1"/>
                <c:pt idx="0">
                  <c:v>Cobertura Programada</c:v>
                </c:pt>
              </c:strCache>
            </c:strRef>
          </c:tx>
          <c:invertIfNegative val="0"/>
          <c:cat>
            <c:strRef>
              <c:f>('I Trimestre'!$B$5,'I Trimestre'!$C$6:$G$6)</c:f>
              <c:strCache>
                <c:ptCount val="6"/>
                <c:pt idx="0">
                  <c:v>programa</c:v>
                </c:pt>
                <c:pt idx="1">
                  <c:v>Intramuros</c:v>
                </c:pt>
                <c:pt idx="2">
                  <c:v>Extramuros</c:v>
                </c:pt>
                <c:pt idx="3">
                  <c:v>1600 grs</c:v>
                </c:pt>
                <c:pt idx="4">
                  <c:v>700 y 800 grs</c:v>
                </c:pt>
                <c:pt idx="5">
                  <c:v>DAF</c:v>
                </c:pt>
              </c:strCache>
            </c:strRef>
          </c:cat>
          <c:val>
            <c:numRef>
              <c:f>Anual!$B$43:$G$43</c:f>
              <c:numCache>
                <c:formatCode>_(* #,##0_);_(* \(#,##0\);_(* "-"??_);_(@_)</c:formatCode>
                <c:ptCount val="6"/>
                <c:pt idx="0">
                  <c:v>164.43592499863931</c:v>
                </c:pt>
                <c:pt idx="1">
                  <c:v>34.982379034452734</c:v>
                </c:pt>
                <c:pt idx="2">
                  <c:v>11.64208349208077</c:v>
                </c:pt>
                <c:pt idx="3">
                  <c:v>129.45354596418656</c:v>
                </c:pt>
                <c:pt idx="4">
                  <c:v>66.175229957002131</c:v>
                </c:pt>
                <c:pt idx="5">
                  <c:v>9.5031885556704587</c:v>
                </c:pt>
              </c:numCache>
            </c:numRef>
          </c:val>
        </c:ser>
        <c:ser>
          <c:idx val="1"/>
          <c:order val="1"/>
          <c:tx>
            <c:strRef>
              <c:f>'I Trimestre'!$A$44</c:f>
              <c:strCache>
                <c:ptCount val="1"/>
                <c:pt idx="0">
                  <c:v>Cobertura Efectiva</c:v>
                </c:pt>
              </c:strCache>
            </c:strRef>
          </c:tx>
          <c:invertIfNegative val="0"/>
          <c:cat>
            <c:strRef>
              <c:f>('I Trimestre'!$B$5,'I Trimestre'!$C$6:$G$6)</c:f>
              <c:strCache>
                <c:ptCount val="6"/>
                <c:pt idx="0">
                  <c:v>programa</c:v>
                </c:pt>
                <c:pt idx="1">
                  <c:v>Intramuros</c:v>
                </c:pt>
                <c:pt idx="2">
                  <c:v>Extramuros</c:v>
                </c:pt>
                <c:pt idx="3">
                  <c:v>1600 grs</c:v>
                </c:pt>
                <c:pt idx="4">
                  <c:v>700 y 800 grs</c:v>
                </c:pt>
                <c:pt idx="5">
                  <c:v>DAF</c:v>
                </c:pt>
              </c:strCache>
            </c:strRef>
          </c:cat>
          <c:val>
            <c:numRef>
              <c:f>Anual!$B$44:$G$44</c:f>
              <c:numCache>
                <c:formatCode>_(* #,##0_);_(* \(#,##0\);_(* "-"??_);_(@_)</c:formatCode>
                <c:ptCount val="6"/>
                <c:pt idx="0">
                  <c:v>132.66851371451401</c:v>
                </c:pt>
                <c:pt idx="1">
                  <c:v>31.531096355158837</c:v>
                </c:pt>
                <c:pt idx="2">
                  <c:v>8.850509806055987</c:v>
                </c:pt>
                <c:pt idx="3">
                  <c:v>101.13741735935515</c:v>
                </c:pt>
                <c:pt idx="4">
                  <c:v>57.301021426368401</c:v>
                </c:pt>
                <c:pt idx="5">
                  <c:v>7.5538834158820016</c:v>
                </c:pt>
              </c:numCache>
            </c:numRef>
          </c:val>
        </c:ser>
        <c:dLbls>
          <c:showLegendKey val="0"/>
          <c:showVal val="0"/>
          <c:showCatName val="0"/>
          <c:showSerName val="0"/>
          <c:showPercent val="0"/>
          <c:showBubbleSize val="0"/>
        </c:dLbls>
        <c:gapWidth val="150"/>
        <c:axId val="199108632"/>
        <c:axId val="199109024"/>
      </c:barChart>
      <c:catAx>
        <c:axId val="199108632"/>
        <c:scaling>
          <c:orientation val="minMax"/>
        </c:scaling>
        <c:delete val="0"/>
        <c:axPos val="b"/>
        <c:numFmt formatCode="General" sourceLinked="1"/>
        <c:majorTickMark val="none"/>
        <c:minorTickMark val="none"/>
        <c:tickLblPos val="nextTo"/>
        <c:txPr>
          <a:bodyPr rot="-5400000" vert="horz"/>
          <a:lstStyle/>
          <a:p>
            <a:pPr>
              <a:defRPr/>
            </a:pPr>
            <a:endParaRPr lang="es-CR"/>
          </a:p>
        </c:txPr>
        <c:crossAx val="199109024"/>
        <c:crosses val="autoZero"/>
        <c:auto val="1"/>
        <c:lblAlgn val="ctr"/>
        <c:lblOffset val="100"/>
        <c:noMultiLvlLbl val="0"/>
      </c:catAx>
      <c:valAx>
        <c:axId val="199109024"/>
        <c:scaling>
          <c:orientation val="minMax"/>
        </c:scaling>
        <c:delete val="0"/>
        <c:axPos val="l"/>
        <c:majorGridlines/>
        <c:numFmt formatCode="_(* #,##0_);_(* \(#,##0\);_(* &quot;-&quot;??_);_(@_)" sourceLinked="1"/>
        <c:majorTickMark val="none"/>
        <c:minorTickMark val="none"/>
        <c:tickLblPos val="nextTo"/>
        <c:crossAx val="199108632"/>
        <c:crosses val="autoZero"/>
        <c:crossBetween val="between"/>
      </c:valAx>
    </c:plotArea>
    <c:legend>
      <c:legendPos val="b"/>
      <c:layout>
        <c:manualLayout>
          <c:xMode val="edge"/>
          <c:yMode val="edge"/>
          <c:x val="0.20710448315841792"/>
          <c:y val="0.8333772974160617"/>
          <c:w val="0.57572794051957443"/>
          <c:h val="7.3340073783014575E-2"/>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a:t>Indicadores de Resultado</a:t>
            </a:r>
          </a:p>
        </c:rich>
      </c:tx>
      <c:layout/>
      <c:overlay val="0"/>
    </c:title>
    <c:autoTitleDeleted val="0"/>
    <c:plotArea>
      <c:layout>
        <c:manualLayout>
          <c:layoutTarget val="inner"/>
          <c:xMode val="edge"/>
          <c:yMode val="edge"/>
          <c:x val="7.6931007394460321E-2"/>
          <c:y val="0.18319476783250921"/>
          <c:w val="0.56495185430725869"/>
          <c:h val="0.62066202907612933"/>
        </c:manualLayout>
      </c:layout>
      <c:barChart>
        <c:barDir val="col"/>
        <c:grouping val="clustered"/>
        <c:varyColors val="0"/>
        <c:ser>
          <c:idx val="0"/>
          <c:order val="0"/>
          <c:tx>
            <c:strRef>
              <c:f>Anual!$A$47</c:f>
              <c:strCache>
                <c:ptCount val="1"/>
                <c:pt idx="0">
                  <c:v>Índice efectividad en beneficiarios (IEB)</c:v>
                </c:pt>
              </c:strCache>
            </c:strRef>
          </c:tx>
          <c:invertIfNegative val="0"/>
          <c:cat>
            <c:strRef>
              <c:f>(Anual!$B$5,Anual!$C$6,Anual!$E$6,Anual!$G$6)</c:f>
              <c:strCache>
                <c:ptCount val="4"/>
                <c:pt idx="0">
                  <c:v>Programa</c:v>
                </c:pt>
                <c:pt idx="1">
                  <c:v>Intramuros</c:v>
                </c:pt>
                <c:pt idx="2">
                  <c:v>1600 grs</c:v>
                </c:pt>
                <c:pt idx="3">
                  <c:v>DAF</c:v>
                </c:pt>
              </c:strCache>
            </c:strRef>
          </c:cat>
          <c:val>
            <c:numRef>
              <c:f>(Anual!$B$47:$C$47,Anual!$E$47,Anual!$G$47)</c:f>
              <c:numCache>
                <c:formatCode>_(* #,##0_);_(* \(#,##0\);_(* "-"??_);_(@_)</c:formatCode>
                <c:ptCount val="4"/>
                <c:pt idx="0">
                  <c:v>91.904548158990735</c:v>
                </c:pt>
                <c:pt idx="1">
                  <c:v>90.25806929854285</c:v>
                </c:pt>
                <c:pt idx="2">
                  <c:v>92.449301716103633</c:v>
                </c:pt>
                <c:pt idx="3">
                  <c:v>79.487883162906144</c:v>
                </c:pt>
              </c:numCache>
            </c:numRef>
          </c:val>
        </c:ser>
        <c:ser>
          <c:idx val="1"/>
          <c:order val="1"/>
          <c:tx>
            <c:strRef>
              <c:f>Anual!$A$48</c:f>
              <c:strCache>
                <c:ptCount val="1"/>
                <c:pt idx="0">
                  <c:v>Índice efectividad en gasto (IEG) </c:v>
                </c:pt>
              </c:strCache>
            </c:strRef>
          </c:tx>
          <c:invertIfNegative val="0"/>
          <c:cat>
            <c:strRef>
              <c:f>(Anual!$B$5,Anual!$C$6,Anual!$E$6,Anual!$G$6)</c:f>
              <c:strCache>
                <c:ptCount val="4"/>
                <c:pt idx="0">
                  <c:v>Programa</c:v>
                </c:pt>
                <c:pt idx="1">
                  <c:v>Intramuros</c:v>
                </c:pt>
                <c:pt idx="2">
                  <c:v>1600 grs</c:v>
                </c:pt>
                <c:pt idx="3">
                  <c:v>DAF</c:v>
                </c:pt>
              </c:strCache>
            </c:strRef>
          </c:cat>
          <c:val>
            <c:numRef>
              <c:f>(Anual!$B$48:$C$48,Anual!$E$48,Anual!$G$48)</c:f>
              <c:numCache>
                <c:formatCode>_(* #,##0_);_(* \(#,##0\);_(* "-"??_);_(@_)</c:formatCode>
                <c:ptCount val="4"/>
                <c:pt idx="0">
                  <c:v>90.110818613790443</c:v>
                </c:pt>
                <c:pt idx="1">
                  <c:v>84.205249830954543</c:v>
                </c:pt>
                <c:pt idx="2">
                  <c:v>88.36564781020013</c:v>
                </c:pt>
                <c:pt idx="3">
                  <c:v>78.718911191904013</c:v>
                </c:pt>
              </c:numCache>
            </c:numRef>
          </c:val>
        </c:ser>
        <c:ser>
          <c:idx val="2"/>
          <c:order val="2"/>
          <c:tx>
            <c:strRef>
              <c:f>Anual!$A$49</c:f>
              <c:strCache>
                <c:ptCount val="1"/>
                <c:pt idx="0">
                  <c:v>Índice efectividad total (IET)</c:v>
                </c:pt>
              </c:strCache>
            </c:strRef>
          </c:tx>
          <c:invertIfNegative val="0"/>
          <c:cat>
            <c:strRef>
              <c:f>(Anual!$B$5,Anual!$C$6,Anual!$E$6,Anual!$G$6)</c:f>
              <c:strCache>
                <c:ptCount val="4"/>
                <c:pt idx="0">
                  <c:v>Programa</c:v>
                </c:pt>
                <c:pt idx="1">
                  <c:v>Intramuros</c:v>
                </c:pt>
                <c:pt idx="2">
                  <c:v>1600 grs</c:v>
                </c:pt>
                <c:pt idx="3">
                  <c:v>DAF</c:v>
                </c:pt>
              </c:strCache>
            </c:strRef>
          </c:cat>
          <c:val>
            <c:numRef>
              <c:f>(Anual!$B$49:$C$49,Anual!$E$49,Anual!$G$49)</c:f>
              <c:numCache>
                <c:formatCode>_(* #,##0_);_(* \(#,##0\);_(* "-"??_);_(@_)</c:formatCode>
                <c:ptCount val="4"/>
                <c:pt idx="0">
                  <c:v>91.007683386390596</c:v>
                </c:pt>
                <c:pt idx="1">
                  <c:v>83.495006433639006</c:v>
                </c:pt>
                <c:pt idx="2">
                  <c:v>89.134927669570445</c:v>
                </c:pt>
                <c:pt idx="3">
                  <c:v>79.103397177405071</c:v>
                </c:pt>
              </c:numCache>
            </c:numRef>
          </c:val>
        </c:ser>
        <c:dLbls>
          <c:showLegendKey val="0"/>
          <c:showVal val="0"/>
          <c:showCatName val="0"/>
          <c:showSerName val="0"/>
          <c:showPercent val="0"/>
          <c:showBubbleSize val="0"/>
        </c:dLbls>
        <c:gapWidth val="150"/>
        <c:axId val="199109808"/>
        <c:axId val="199110200"/>
      </c:barChart>
      <c:catAx>
        <c:axId val="199109808"/>
        <c:scaling>
          <c:orientation val="minMax"/>
        </c:scaling>
        <c:delete val="0"/>
        <c:axPos val="b"/>
        <c:numFmt formatCode="General" sourceLinked="1"/>
        <c:majorTickMark val="none"/>
        <c:minorTickMark val="none"/>
        <c:tickLblPos val="nextTo"/>
        <c:crossAx val="199110200"/>
        <c:crosses val="autoZero"/>
        <c:auto val="1"/>
        <c:lblAlgn val="ctr"/>
        <c:lblOffset val="100"/>
        <c:noMultiLvlLbl val="0"/>
      </c:catAx>
      <c:valAx>
        <c:axId val="199110200"/>
        <c:scaling>
          <c:orientation val="minMax"/>
        </c:scaling>
        <c:delete val="0"/>
        <c:axPos val="l"/>
        <c:majorGridlines/>
        <c:numFmt formatCode="_(* #,##0_);_(* \(#,##0\);_(* &quot;-&quot;??_);_(@_)" sourceLinked="1"/>
        <c:majorTickMark val="none"/>
        <c:minorTickMark val="none"/>
        <c:tickLblPos val="nextTo"/>
        <c:crossAx val="199109808"/>
        <c:crosses val="autoZero"/>
        <c:crossBetween val="between"/>
      </c:valAx>
    </c:plotArea>
    <c:legend>
      <c:legendPos val="r"/>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a:t>Indicadores de Avance</a:t>
            </a:r>
          </a:p>
        </c:rich>
      </c:tx>
      <c:layout/>
      <c:overlay val="0"/>
    </c:title>
    <c:autoTitleDeleted val="0"/>
    <c:plotArea>
      <c:layout>
        <c:manualLayout>
          <c:layoutTarget val="inner"/>
          <c:xMode val="edge"/>
          <c:yMode val="edge"/>
          <c:x val="9.1259970213068253E-2"/>
          <c:y val="0.17881570088754509"/>
          <c:w val="0.55677822700362056"/>
          <c:h val="0.65097802619937739"/>
        </c:manualLayout>
      </c:layout>
      <c:barChart>
        <c:barDir val="col"/>
        <c:grouping val="clustered"/>
        <c:varyColors val="0"/>
        <c:ser>
          <c:idx val="0"/>
          <c:order val="0"/>
          <c:tx>
            <c:strRef>
              <c:f>Anual!$A$52</c:f>
              <c:strCache>
                <c:ptCount val="1"/>
                <c:pt idx="0">
                  <c:v>Índice avance beneficiarios (IAB) </c:v>
                </c:pt>
              </c:strCache>
            </c:strRef>
          </c:tx>
          <c:invertIfNegative val="0"/>
          <c:cat>
            <c:strRef>
              <c:f>(Anual!$B$5,Anual!$C$6,Anual!$E$6,Anual!$G$6)</c:f>
              <c:strCache>
                <c:ptCount val="4"/>
                <c:pt idx="0">
                  <c:v>Programa</c:v>
                </c:pt>
                <c:pt idx="1">
                  <c:v>Intramuros</c:v>
                </c:pt>
                <c:pt idx="2">
                  <c:v>1600 grs</c:v>
                </c:pt>
                <c:pt idx="3">
                  <c:v>DAF</c:v>
                </c:pt>
              </c:strCache>
            </c:strRef>
          </c:cat>
          <c:val>
            <c:numRef>
              <c:f>(Anual!$B$52:$C$52,Anual!$E$52,Anual!$G$52)</c:f>
              <c:numCache>
                <c:formatCode>_(* #,##0_);_(* \(#,##0\);_(* "-"??_);_(@_)</c:formatCode>
                <c:ptCount val="4"/>
                <c:pt idx="0">
                  <c:v>93.483834945866548</c:v>
                </c:pt>
                <c:pt idx="1">
                  <c:v>96.838607055615526</c:v>
                </c:pt>
                <c:pt idx="2">
                  <c:v>92.449301716103633</c:v>
                </c:pt>
                <c:pt idx="3">
                  <c:v>78.733512976882707</c:v>
                </c:pt>
              </c:numCache>
            </c:numRef>
          </c:val>
        </c:ser>
        <c:ser>
          <c:idx val="1"/>
          <c:order val="1"/>
          <c:tx>
            <c:strRef>
              <c:f>Anual!$A$53</c:f>
              <c:strCache>
                <c:ptCount val="1"/>
                <c:pt idx="0">
                  <c:v>Índice avance gasto (IAG)</c:v>
                </c:pt>
              </c:strCache>
            </c:strRef>
          </c:tx>
          <c:invertIfNegative val="0"/>
          <c:cat>
            <c:strRef>
              <c:f>(Anual!$B$5,Anual!$C$6,Anual!$E$6,Anual!$G$6)</c:f>
              <c:strCache>
                <c:ptCount val="4"/>
                <c:pt idx="0">
                  <c:v>Programa</c:v>
                </c:pt>
                <c:pt idx="1">
                  <c:v>Intramuros</c:v>
                </c:pt>
                <c:pt idx="2">
                  <c:v>1600 grs</c:v>
                </c:pt>
                <c:pt idx="3">
                  <c:v>DAF</c:v>
                </c:pt>
              </c:strCache>
            </c:strRef>
          </c:cat>
          <c:val>
            <c:numRef>
              <c:f>(Anual!$B$53:$C$53,Anual!$E$53,Anual!$G$53)</c:f>
              <c:numCache>
                <c:formatCode>_(* #,##0_);_(* \(#,##0\);_(* "-"??_);_(@_)</c:formatCode>
                <c:ptCount val="4"/>
                <c:pt idx="0">
                  <c:v>90.110818613790443</c:v>
                </c:pt>
                <c:pt idx="1">
                  <c:v>84.205249830954543</c:v>
                </c:pt>
                <c:pt idx="2">
                  <c:v>88.36564781020013</c:v>
                </c:pt>
                <c:pt idx="3">
                  <c:v>78.718911191904013</c:v>
                </c:pt>
              </c:numCache>
            </c:numRef>
          </c:val>
        </c:ser>
        <c:ser>
          <c:idx val="2"/>
          <c:order val="2"/>
          <c:tx>
            <c:strRef>
              <c:f>Anual!$A$54</c:f>
              <c:strCache>
                <c:ptCount val="1"/>
                <c:pt idx="0">
                  <c:v>Índice avance total (IAT) </c:v>
                </c:pt>
              </c:strCache>
            </c:strRef>
          </c:tx>
          <c:invertIfNegative val="0"/>
          <c:cat>
            <c:strRef>
              <c:f>(Anual!$B$5,Anual!$C$6,Anual!$E$6,Anual!$G$6)</c:f>
              <c:strCache>
                <c:ptCount val="4"/>
                <c:pt idx="0">
                  <c:v>Programa</c:v>
                </c:pt>
                <c:pt idx="1">
                  <c:v>Intramuros</c:v>
                </c:pt>
                <c:pt idx="2">
                  <c:v>1600 grs</c:v>
                </c:pt>
                <c:pt idx="3">
                  <c:v>DAF</c:v>
                </c:pt>
              </c:strCache>
            </c:strRef>
          </c:cat>
          <c:val>
            <c:numRef>
              <c:f>Anual!$B$54:$C$54</c:f>
              <c:numCache>
                <c:formatCode>_(* #,##0_);_(* \(#,##0\);_(* "-"??_);_(@_)</c:formatCode>
                <c:ptCount val="2"/>
                <c:pt idx="0">
                  <c:v>91.797326779828495</c:v>
                </c:pt>
                <c:pt idx="1">
                  <c:v>85.688519019329917</c:v>
                </c:pt>
              </c:numCache>
            </c:numRef>
          </c:val>
        </c:ser>
        <c:dLbls>
          <c:showLegendKey val="0"/>
          <c:showVal val="0"/>
          <c:showCatName val="0"/>
          <c:showSerName val="0"/>
          <c:showPercent val="0"/>
          <c:showBubbleSize val="0"/>
        </c:dLbls>
        <c:gapWidth val="150"/>
        <c:axId val="199110984"/>
        <c:axId val="199111376"/>
      </c:barChart>
      <c:catAx>
        <c:axId val="199110984"/>
        <c:scaling>
          <c:orientation val="minMax"/>
        </c:scaling>
        <c:delete val="0"/>
        <c:axPos val="b"/>
        <c:numFmt formatCode="General" sourceLinked="1"/>
        <c:majorTickMark val="none"/>
        <c:minorTickMark val="none"/>
        <c:tickLblPos val="nextTo"/>
        <c:crossAx val="199111376"/>
        <c:crosses val="autoZero"/>
        <c:auto val="1"/>
        <c:lblAlgn val="ctr"/>
        <c:lblOffset val="100"/>
        <c:noMultiLvlLbl val="0"/>
      </c:catAx>
      <c:valAx>
        <c:axId val="199111376"/>
        <c:scaling>
          <c:orientation val="minMax"/>
        </c:scaling>
        <c:delete val="0"/>
        <c:axPos val="l"/>
        <c:majorGridlines/>
        <c:numFmt formatCode="_(* #,##0_);_(* \(#,##0\);_(* &quot;-&quot;??_);_(@_)" sourceLinked="1"/>
        <c:majorTickMark val="none"/>
        <c:minorTickMark val="none"/>
        <c:tickLblPos val="nextTo"/>
        <c:crossAx val="199110984"/>
        <c:crosses val="autoZero"/>
        <c:crossBetween val="between"/>
        <c:majorUnit val="25"/>
      </c:valAx>
    </c:plotArea>
    <c:legend>
      <c:legendPos val="r"/>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Expansión</a:t>
            </a:r>
          </a:p>
        </c:rich>
      </c:tx>
      <c:layout/>
      <c:overlay val="0"/>
    </c:title>
    <c:autoTitleDeleted val="0"/>
    <c:plotArea>
      <c:layout>
        <c:manualLayout>
          <c:layoutTarget val="inner"/>
          <c:xMode val="edge"/>
          <c:yMode val="edge"/>
          <c:x val="7.501830644582598E-2"/>
          <c:y val="0.15217496359489172"/>
          <c:w val="0.58636646813618343"/>
          <c:h val="0.72056759752058663"/>
        </c:manualLayout>
      </c:layout>
      <c:barChart>
        <c:barDir val="col"/>
        <c:grouping val="clustered"/>
        <c:varyColors val="0"/>
        <c:ser>
          <c:idx val="0"/>
          <c:order val="0"/>
          <c:tx>
            <c:strRef>
              <c:f>Anual!$A$60</c:f>
              <c:strCache>
                <c:ptCount val="1"/>
                <c:pt idx="0">
                  <c:v>Índice de crecimiento beneficiarios (ICB) </c:v>
                </c:pt>
              </c:strCache>
            </c:strRef>
          </c:tx>
          <c:invertIfNegative val="0"/>
          <c:cat>
            <c:strRef>
              <c:f>(Anual!$B$5,Anual!$C$6,Anual!$E$6,Anual!$G$6)</c:f>
              <c:strCache>
                <c:ptCount val="4"/>
                <c:pt idx="0">
                  <c:v>Programa</c:v>
                </c:pt>
                <c:pt idx="1">
                  <c:v>Intramuros</c:v>
                </c:pt>
                <c:pt idx="2">
                  <c:v>1600 grs</c:v>
                </c:pt>
                <c:pt idx="3">
                  <c:v>DAF</c:v>
                </c:pt>
              </c:strCache>
            </c:strRef>
          </c:cat>
          <c:val>
            <c:numRef>
              <c:f>(Anual!$B$60:$C$60,Anual!$E$60,Anual!$G$60)</c:f>
              <c:numCache>
                <c:formatCode>_(* #,##0_);_(* \(#,##0\);_(* "-"??_);_(@_)</c:formatCode>
                <c:ptCount val="4"/>
                <c:pt idx="0">
                  <c:v>5.0586617271541456</c:v>
                </c:pt>
                <c:pt idx="1">
                  <c:v>-1.5114310640682693</c:v>
                </c:pt>
                <c:pt idx="2">
                  <c:v>7.3723478713794144</c:v>
                </c:pt>
                <c:pt idx="3">
                  <c:v>14.287184765826044</c:v>
                </c:pt>
              </c:numCache>
            </c:numRef>
          </c:val>
        </c:ser>
        <c:ser>
          <c:idx val="1"/>
          <c:order val="1"/>
          <c:tx>
            <c:strRef>
              <c:f>Anual!$A$61</c:f>
              <c:strCache>
                <c:ptCount val="1"/>
                <c:pt idx="0">
                  <c:v>Índice de crecimiento del gasto real (ICGR) </c:v>
                </c:pt>
              </c:strCache>
            </c:strRef>
          </c:tx>
          <c:invertIfNegative val="0"/>
          <c:cat>
            <c:strRef>
              <c:f>(Anual!$B$5,Anual!$C$6,Anual!$E$6,Anual!$G$6)</c:f>
              <c:strCache>
                <c:ptCount val="4"/>
                <c:pt idx="0">
                  <c:v>Programa</c:v>
                </c:pt>
                <c:pt idx="1">
                  <c:v>Intramuros</c:v>
                </c:pt>
                <c:pt idx="2">
                  <c:v>1600 grs</c:v>
                </c:pt>
                <c:pt idx="3">
                  <c:v>DAF</c:v>
                </c:pt>
              </c:strCache>
            </c:strRef>
          </c:cat>
          <c:val>
            <c:numRef>
              <c:f>(Anual!$B$61:$C$61,Anual!$E$61,Anual!$G$61)</c:f>
              <c:numCache>
                <c:formatCode>_(* #,##0_);_(* \(#,##0\);_(* "-"??_);_(@_)</c:formatCode>
                <c:ptCount val="4"/>
                <c:pt idx="0">
                  <c:v>34.110517985683074</c:v>
                </c:pt>
                <c:pt idx="1">
                  <c:v>27.799120971655313</c:v>
                </c:pt>
                <c:pt idx="2">
                  <c:v>28.080030092777353</c:v>
                </c:pt>
                <c:pt idx="3">
                  <c:v>57.070104066817919</c:v>
                </c:pt>
              </c:numCache>
            </c:numRef>
          </c:val>
        </c:ser>
        <c:ser>
          <c:idx val="2"/>
          <c:order val="2"/>
          <c:tx>
            <c:strRef>
              <c:f>Anual!$A$62</c:f>
              <c:strCache>
                <c:ptCount val="1"/>
                <c:pt idx="0">
                  <c:v>Índice de crecimiento del gasto real por beneficiario (ICGRB) </c:v>
                </c:pt>
              </c:strCache>
            </c:strRef>
          </c:tx>
          <c:invertIfNegative val="0"/>
          <c:cat>
            <c:strRef>
              <c:f>(Anual!$B$5,Anual!$C$6,Anual!$E$6,Anual!$G$6)</c:f>
              <c:strCache>
                <c:ptCount val="4"/>
                <c:pt idx="0">
                  <c:v>Programa</c:v>
                </c:pt>
                <c:pt idx="1">
                  <c:v>Intramuros</c:v>
                </c:pt>
                <c:pt idx="2">
                  <c:v>1600 grs</c:v>
                </c:pt>
                <c:pt idx="3">
                  <c:v>DAF</c:v>
                </c:pt>
              </c:strCache>
            </c:strRef>
          </c:cat>
          <c:val>
            <c:numRef>
              <c:f>(Anual!$B$62:$C$62,Anual!$E$62,Anual!$G$62)</c:f>
              <c:numCache>
                <c:formatCode>_(* #,##0_);_(* \(#,##0\);_(* "-"??_);_(@_)</c:formatCode>
                <c:ptCount val="4"/>
                <c:pt idx="0">
                  <c:v>27.652985275958475</c:v>
                </c:pt>
                <c:pt idx="1">
                  <c:v>29.760359351744192</c:v>
                </c:pt>
                <c:pt idx="2">
                  <c:v>-1.2136486605033303</c:v>
                </c:pt>
                <c:pt idx="3">
                  <c:v>37.434572728914326</c:v>
                </c:pt>
              </c:numCache>
            </c:numRef>
          </c:val>
        </c:ser>
        <c:dLbls>
          <c:showLegendKey val="0"/>
          <c:showVal val="0"/>
          <c:showCatName val="0"/>
          <c:showSerName val="0"/>
          <c:showPercent val="0"/>
          <c:showBubbleSize val="0"/>
        </c:dLbls>
        <c:gapWidth val="150"/>
        <c:axId val="199112160"/>
        <c:axId val="199112552"/>
      </c:barChart>
      <c:catAx>
        <c:axId val="199112160"/>
        <c:scaling>
          <c:orientation val="minMax"/>
        </c:scaling>
        <c:delete val="0"/>
        <c:axPos val="b"/>
        <c:numFmt formatCode="General" sourceLinked="0"/>
        <c:majorTickMark val="none"/>
        <c:minorTickMark val="none"/>
        <c:tickLblPos val="nextTo"/>
        <c:crossAx val="199112552"/>
        <c:crosses val="autoZero"/>
        <c:auto val="1"/>
        <c:lblAlgn val="ctr"/>
        <c:lblOffset val="100"/>
        <c:noMultiLvlLbl val="0"/>
      </c:catAx>
      <c:valAx>
        <c:axId val="199112552"/>
        <c:scaling>
          <c:orientation val="minMax"/>
        </c:scaling>
        <c:delete val="0"/>
        <c:axPos val="l"/>
        <c:majorGridlines/>
        <c:numFmt formatCode="#,##0" sourceLinked="0"/>
        <c:majorTickMark val="none"/>
        <c:minorTickMark val="none"/>
        <c:tickLblPos val="nextTo"/>
        <c:crossAx val="199112160"/>
        <c:crosses val="autoZero"/>
        <c:crossBetween val="between"/>
      </c:valAx>
    </c:plotArea>
    <c:legend>
      <c:legendPos val="r"/>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400"/>
              <a:t>Indicadores de Gasto Medio Mensual</a:t>
            </a:r>
          </a:p>
        </c:rich>
      </c:tx>
      <c:layout/>
      <c:overlay val="0"/>
    </c:title>
    <c:autoTitleDeleted val="0"/>
    <c:plotArea>
      <c:layout>
        <c:manualLayout>
          <c:layoutTarget val="inner"/>
          <c:xMode val="edge"/>
          <c:yMode val="edge"/>
          <c:x val="0.12471419112418702"/>
          <c:y val="0.16703644522463656"/>
          <c:w val="0.75950610106136607"/>
          <c:h val="0.52311975573985081"/>
        </c:manualLayout>
      </c:layout>
      <c:barChart>
        <c:barDir val="col"/>
        <c:grouping val="clustered"/>
        <c:varyColors val="0"/>
        <c:ser>
          <c:idx val="0"/>
          <c:order val="0"/>
          <c:tx>
            <c:strRef>
              <c:f>Anual!$A$65</c:f>
              <c:strCache>
                <c:ptCount val="1"/>
                <c:pt idx="0">
                  <c:v>Gasto programado por beneficiario (GPB) </c:v>
                </c:pt>
              </c:strCache>
            </c:strRef>
          </c:tx>
          <c:invertIfNegative val="0"/>
          <c:cat>
            <c:strRef>
              <c:f>(Anual!$B$5,Anual!$C$6,Anual!$E$6,Anual!$G$6)</c:f>
              <c:strCache>
                <c:ptCount val="4"/>
                <c:pt idx="0">
                  <c:v>Programa</c:v>
                </c:pt>
                <c:pt idx="1">
                  <c:v>Intramuros</c:v>
                </c:pt>
                <c:pt idx="2">
                  <c:v>1600 grs</c:v>
                </c:pt>
                <c:pt idx="3">
                  <c:v>DAF</c:v>
                </c:pt>
              </c:strCache>
            </c:strRef>
          </c:cat>
          <c:val>
            <c:numRef>
              <c:f>(Anual!$B$65:$C$65,Anual!$E$65,Anual!$G$65)</c:f>
              <c:numCache>
                <c:formatCode>_(* #,##0_);_(* \(#,##0\);_(* "-"??_);_(@_)</c:formatCode>
                <c:ptCount val="4"/>
                <c:pt idx="0">
                  <c:v>8733.7978487465971</c:v>
                </c:pt>
                <c:pt idx="1">
                  <c:v>10007.088009991674</c:v>
                </c:pt>
                <c:pt idx="2">
                  <c:v>3928.0630073878806</c:v>
                </c:pt>
                <c:pt idx="3">
                  <c:v>20113.18</c:v>
                </c:pt>
              </c:numCache>
            </c:numRef>
          </c:val>
        </c:ser>
        <c:ser>
          <c:idx val="1"/>
          <c:order val="1"/>
          <c:tx>
            <c:strRef>
              <c:f>Anual!$A$66</c:f>
              <c:strCache>
                <c:ptCount val="1"/>
                <c:pt idx="0">
                  <c:v>Gasto efectivo por beneficiario (GEB) </c:v>
                </c:pt>
              </c:strCache>
            </c:strRef>
          </c:tx>
          <c:invertIfNegative val="0"/>
          <c:cat>
            <c:strRef>
              <c:f>(Anual!$B$5,Anual!$C$6,Anual!$E$6,Anual!$G$6)</c:f>
              <c:strCache>
                <c:ptCount val="4"/>
                <c:pt idx="0">
                  <c:v>Programa</c:v>
                </c:pt>
                <c:pt idx="1">
                  <c:v>Intramuros</c:v>
                </c:pt>
                <c:pt idx="2">
                  <c:v>1600 grs</c:v>
                </c:pt>
                <c:pt idx="3">
                  <c:v>DAF</c:v>
                </c:pt>
              </c:strCache>
            </c:strRef>
          </c:cat>
          <c:val>
            <c:numRef>
              <c:f>(Anual!$B$66:$C$66,Anual!$E$66,Anual!$G$66)</c:f>
              <c:numCache>
                <c:formatCode>_(* #,##0_);_(* \(#,##0\);_(* "-"??_);_(@_)</c:formatCode>
                <c:ptCount val="4"/>
                <c:pt idx="0">
                  <c:v>8563.3376097603596</c:v>
                </c:pt>
                <c:pt idx="1">
                  <c:v>9661.6985844294395</c:v>
                </c:pt>
                <c:pt idx="2">
                  <c:v>3836.8131712533309</c:v>
                </c:pt>
                <c:pt idx="3">
                  <c:v>19918.603530577322</c:v>
                </c:pt>
              </c:numCache>
            </c:numRef>
          </c:val>
        </c:ser>
        <c:dLbls>
          <c:showLegendKey val="0"/>
          <c:showVal val="0"/>
          <c:showCatName val="0"/>
          <c:showSerName val="0"/>
          <c:showPercent val="0"/>
          <c:showBubbleSize val="0"/>
        </c:dLbls>
        <c:gapWidth val="150"/>
        <c:axId val="199113336"/>
        <c:axId val="199113728"/>
      </c:barChart>
      <c:catAx>
        <c:axId val="199113336"/>
        <c:scaling>
          <c:orientation val="minMax"/>
        </c:scaling>
        <c:delete val="0"/>
        <c:axPos val="b"/>
        <c:numFmt formatCode="General" sourceLinked="0"/>
        <c:majorTickMark val="none"/>
        <c:minorTickMark val="none"/>
        <c:tickLblPos val="nextTo"/>
        <c:crossAx val="199113728"/>
        <c:crosses val="autoZero"/>
        <c:auto val="1"/>
        <c:lblAlgn val="ctr"/>
        <c:lblOffset val="100"/>
        <c:noMultiLvlLbl val="0"/>
      </c:catAx>
      <c:valAx>
        <c:axId val="199113728"/>
        <c:scaling>
          <c:orientation val="minMax"/>
        </c:scaling>
        <c:delete val="0"/>
        <c:axPos val="l"/>
        <c:majorGridlines/>
        <c:numFmt formatCode="_(* #,##0_);_(* \(#,##0\);_(* &quot;-&quot;??_);_(@_)" sourceLinked="1"/>
        <c:majorTickMark val="none"/>
        <c:minorTickMark val="none"/>
        <c:tickLblPos val="nextTo"/>
        <c:crossAx val="199113336"/>
        <c:crosses val="autoZero"/>
        <c:crossBetween val="between"/>
      </c:valAx>
    </c:plotArea>
    <c:legend>
      <c:legendPos val="b"/>
      <c:layout>
        <c:manualLayout>
          <c:xMode val="edge"/>
          <c:yMode val="edge"/>
          <c:x val="4.4822048299661431E-2"/>
          <c:y val="0.79324502408718156"/>
          <c:w val="0.89999991845681171"/>
          <c:h val="7.178423936894459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400"/>
              <a:t>Índice de eficiencia (IE) </a:t>
            </a:r>
          </a:p>
        </c:rich>
      </c:tx>
      <c:layout/>
      <c:overlay val="0"/>
    </c:title>
    <c:autoTitleDeleted val="0"/>
    <c:plotArea>
      <c:layout>
        <c:manualLayout>
          <c:layoutTarget val="inner"/>
          <c:xMode val="edge"/>
          <c:yMode val="edge"/>
          <c:x val="8.239818616765246E-2"/>
          <c:y val="0.15887866499472586"/>
          <c:w val="0.78591990470388162"/>
          <c:h val="0.57177785880352194"/>
        </c:manualLayout>
      </c:layout>
      <c:barChart>
        <c:barDir val="col"/>
        <c:grouping val="clustered"/>
        <c:varyColors val="0"/>
        <c:ser>
          <c:idx val="0"/>
          <c:order val="0"/>
          <c:tx>
            <c:strRef>
              <c:f>Anual!$A$67</c:f>
              <c:strCache>
                <c:ptCount val="1"/>
                <c:pt idx="0">
                  <c:v>Índice de eficiencia (IE) </c:v>
                </c:pt>
              </c:strCache>
            </c:strRef>
          </c:tx>
          <c:invertIfNegative val="0"/>
          <c:cat>
            <c:strRef>
              <c:f>(Anual!$B$5,Anual!$C$6,Anual!$E$6,Anual!$G$6)</c:f>
              <c:strCache>
                <c:ptCount val="4"/>
                <c:pt idx="0">
                  <c:v>Programa</c:v>
                </c:pt>
                <c:pt idx="1">
                  <c:v>Intramuros</c:v>
                </c:pt>
                <c:pt idx="2">
                  <c:v>1600 grs</c:v>
                </c:pt>
                <c:pt idx="3">
                  <c:v>DAF</c:v>
                </c:pt>
              </c:strCache>
            </c:strRef>
          </c:cat>
          <c:val>
            <c:numRef>
              <c:f>(Anual!$B$67:$C$67,Anual!$E$67,Anual!$G$67)</c:f>
              <c:numCache>
                <c:formatCode>_(* #,##0_);_(* \(#,##0\);_(* "-"??_);_(@_)</c:formatCode>
                <c:ptCount val="4"/>
                <c:pt idx="0">
                  <c:v>92.8192657584258</c:v>
                </c:pt>
                <c:pt idx="1">
                  <c:v>86.479812061492552</c:v>
                </c:pt>
                <c:pt idx="2">
                  <c:v>91.254798296749399</c:v>
                </c:pt>
                <c:pt idx="3">
                  <c:v>79.876125030464223</c:v>
                </c:pt>
              </c:numCache>
            </c:numRef>
          </c:val>
        </c:ser>
        <c:dLbls>
          <c:showLegendKey val="0"/>
          <c:showVal val="0"/>
          <c:showCatName val="0"/>
          <c:showSerName val="0"/>
          <c:showPercent val="0"/>
          <c:showBubbleSize val="0"/>
        </c:dLbls>
        <c:gapWidth val="150"/>
        <c:axId val="202124336"/>
        <c:axId val="202124728"/>
      </c:barChart>
      <c:catAx>
        <c:axId val="202124336"/>
        <c:scaling>
          <c:orientation val="minMax"/>
        </c:scaling>
        <c:delete val="0"/>
        <c:axPos val="b"/>
        <c:numFmt formatCode="General" sourceLinked="0"/>
        <c:majorTickMark val="none"/>
        <c:minorTickMark val="none"/>
        <c:tickLblPos val="nextTo"/>
        <c:crossAx val="202124728"/>
        <c:crosses val="autoZero"/>
        <c:auto val="1"/>
        <c:lblAlgn val="ctr"/>
        <c:lblOffset val="100"/>
        <c:noMultiLvlLbl val="0"/>
      </c:catAx>
      <c:valAx>
        <c:axId val="202124728"/>
        <c:scaling>
          <c:orientation val="minMax"/>
        </c:scaling>
        <c:delete val="0"/>
        <c:axPos val="l"/>
        <c:majorGridlines/>
        <c:numFmt formatCode="_(* #,##0_);_(* \(#,##0\);_(* &quot;-&quot;??_);_(@_)" sourceLinked="1"/>
        <c:majorTickMark val="none"/>
        <c:minorTickMark val="none"/>
        <c:tickLblPos val="nextTo"/>
        <c:crossAx val="202124336"/>
        <c:crosses val="autoZero"/>
        <c:crossBetween val="between"/>
      </c:valAx>
    </c:plotArea>
    <c:legend>
      <c:legendPos val="b"/>
      <c:layout>
        <c:manualLayout>
          <c:xMode val="edge"/>
          <c:yMode val="edge"/>
          <c:x val="0.28346118640086188"/>
          <c:y val="0.82023059597873116"/>
          <c:w val="0.34644457907399223"/>
          <c:h val="7.7246423804705852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Gasto Medio Anual</a:t>
            </a:r>
          </a:p>
        </c:rich>
      </c:tx>
      <c:layout/>
      <c:overlay val="0"/>
    </c:title>
    <c:autoTitleDeleted val="0"/>
    <c:plotArea>
      <c:layout>
        <c:manualLayout>
          <c:layoutTarget val="inner"/>
          <c:xMode val="edge"/>
          <c:yMode val="edge"/>
          <c:x val="0.13750668306326203"/>
          <c:y val="0.17902956817954918"/>
          <c:w val="0.74345497033828278"/>
          <c:h val="0.50164427729188754"/>
        </c:manualLayout>
      </c:layout>
      <c:barChart>
        <c:barDir val="col"/>
        <c:grouping val="clustered"/>
        <c:varyColors val="0"/>
        <c:ser>
          <c:idx val="0"/>
          <c:order val="0"/>
          <c:tx>
            <c:strRef>
              <c:f>Anual!$A$68</c:f>
              <c:strCache>
                <c:ptCount val="1"/>
                <c:pt idx="0">
                  <c:v>Gasto programado acumulado por beneficiario (GPB) </c:v>
                </c:pt>
              </c:strCache>
            </c:strRef>
          </c:tx>
          <c:invertIfNegative val="0"/>
          <c:cat>
            <c:strRef>
              <c:f>(Anual!$B$5,Anual!$C$6,Anual!$E$6,Anual!$G$6)</c:f>
              <c:strCache>
                <c:ptCount val="4"/>
                <c:pt idx="0">
                  <c:v>Programa</c:v>
                </c:pt>
                <c:pt idx="1">
                  <c:v>Intramuros</c:v>
                </c:pt>
                <c:pt idx="2">
                  <c:v>1600 grs</c:v>
                </c:pt>
                <c:pt idx="3">
                  <c:v>DAF</c:v>
                </c:pt>
              </c:strCache>
            </c:strRef>
          </c:cat>
          <c:val>
            <c:numRef>
              <c:f>(Anual!$B$68:$C$68,Anual!$E$68,Anual!$G$68)</c:f>
              <c:numCache>
                <c:formatCode>_(* #,##0_);_(* \(#,##0\);_(* "-"??_);_(@_)</c:formatCode>
                <c:ptCount val="4"/>
                <c:pt idx="0">
                  <c:v>104805.57418495916</c:v>
                </c:pt>
                <c:pt idx="1">
                  <c:v>120085.05611990008</c:v>
                </c:pt>
                <c:pt idx="2">
                  <c:v>47136.756088654569</c:v>
                </c:pt>
                <c:pt idx="3">
                  <c:v>241358.16</c:v>
                </c:pt>
              </c:numCache>
            </c:numRef>
          </c:val>
        </c:ser>
        <c:ser>
          <c:idx val="1"/>
          <c:order val="1"/>
          <c:tx>
            <c:strRef>
              <c:f>Anual!$A$69</c:f>
              <c:strCache>
                <c:ptCount val="1"/>
                <c:pt idx="0">
                  <c:v>Gasto efectivo acumulado por beneficiario (GEB) </c:v>
                </c:pt>
              </c:strCache>
            </c:strRef>
          </c:tx>
          <c:invertIfNegative val="0"/>
          <c:cat>
            <c:strRef>
              <c:f>(Anual!$B$5,Anual!$C$6,Anual!$E$6,Anual!$G$6)</c:f>
              <c:strCache>
                <c:ptCount val="4"/>
                <c:pt idx="0">
                  <c:v>Programa</c:v>
                </c:pt>
                <c:pt idx="1">
                  <c:v>Intramuros</c:v>
                </c:pt>
                <c:pt idx="2">
                  <c:v>1600 grs</c:v>
                </c:pt>
                <c:pt idx="3">
                  <c:v>DAF</c:v>
                </c:pt>
              </c:strCache>
            </c:strRef>
          </c:cat>
          <c:val>
            <c:numRef>
              <c:f>(Anual!$B$69:$C$69,Anual!$E$69,Anual!$G$69)</c:f>
              <c:numCache>
                <c:formatCode>_(* #,##0_);_(* \(#,##0\);_(* "-"??_);_(@_)</c:formatCode>
                <c:ptCount val="4"/>
                <c:pt idx="0">
                  <c:v>102760.05131712432</c:v>
                </c:pt>
                <c:pt idx="1">
                  <c:v>115940.38301315327</c:v>
                </c:pt>
                <c:pt idx="2">
                  <c:v>46041.758055039965</c:v>
                </c:pt>
                <c:pt idx="3">
                  <c:v>239023.24236692785</c:v>
                </c:pt>
              </c:numCache>
            </c:numRef>
          </c:val>
        </c:ser>
        <c:dLbls>
          <c:showLegendKey val="0"/>
          <c:showVal val="0"/>
          <c:showCatName val="0"/>
          <c:showSerName val="0"/>
          <c:showPercent val="0"/>
          <c:showBubbleSize val="0"/>
        </c:dLbls>
        <c:gapWidth val="150"/>
        <c:axId val="202125512"/>
        <c:axId val="202125904"/>
      </c:barChart>
      <c:catAx>
        <c:axId val="202125512"/>
        <c:scaling>
          <c:orientation val="minMax"/>
        </c:scaling>
        <c:delete val="0"/>
        <c:axPos val="b"/>
        <c:numFmt formatCode="General" sourceLinked="0"/>
        <c:majorTickMark val="none"/>
        <c:minorTickMark val="none"/>
        <c:tickLblPos val="nextTo"/>
        <c:crossAx val="202125904"/>
        <c:crosses val="autoZero"/>
        <c:auto val="1"/>
        <c:lblAlgn val="ctr"/>
        <c:lblOffset val="100"/>
        <c:noMultiLvlLbl val="0"/>
      </c:catAx>
      <c:valAx>
        <c:axId val="202125904"/>
        <c:scaling>
          <c:orientation val="minMax"/>
        </c:scaling>
        <c:delete val="0"/>
        <c:axPos val="l"/>
        <c:majorGridlines/>
        <c:numFmt formatCode="_(* #,##0_);_(* \(#,##0\);_(* &quot;-&quot;??_);_(@_)" sourceLinked="1"/>
        <c:majorTickMark val="none"/>
        <c:minorTickMark val="none"/>
        <c:tickLblPos val="nextTo"/>
        <c:crossAx val="202125512"/>
        <c:crosses val="autoZero"/>
        <c:crossBetween val="between"/>
      </c:valAx>
    </c:plotArea>
    <c:legend>
      <c:legendPos val="b"/>
      <c:layout>
        <c:manualLayout>
          <c:xMode val="edge"/>
          <c:yMode val="edge"/>
          <c:x val="0.20455450888407639"/>
          <c:y val="0.76741047767796422"/>
          <c:w val="0.5908907788674268"/>
          <c:h val="0.14749448724881054"/>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Índice de Giro de Recursos</a:t>
            </a:r>
          </a:p>
        </c:rich>
      </c:tx>
      <c:layout/>
      <c:overlay val="0"/>
    </c:title>
    <c:autoTitleDeleted val="0"/>
    <c:plotArea>
      <c:layout>
        <c:manualLayout>
          <c:layoutTarget val="inner"/>
          <c:xMode val="edge"/>
          <c:yMode val="edge"/>
          <c:x val="9.0872604134720925E-2"/>
          <c:y val="0.15951754171190632"/>
          <c:w val="0.77548168419297947"/>
          <c:h val="0.561477971756974"/>
        </c:manualLayout>
      </c:layout>
      <c:barChart>
        <c:barDir val="col"/>
        <c:grouping val="clustered"/>
        <c:varyColors val="0"/>
        <c:ser>
          <c:idx val="0"/>
          <c:order val="0"/>
          <c:tx>
            <c:strRef>
              <c:f>Anual!$A$72</c:f>
              <c:strCache>
                <c:ptCount val="1"/>
                <c:pt idx="0">
                  <c:v>Índice de giro efectivo (IGE)</c:v>
                </c:pt>
              </c:strCache>
            </c:strRef>
          </c:tx>
          <c:invertIfNegative val="0"/>
          <c:cat>
            <c:strRef>
              <c:f>Anual!$B$5</c:f>
              <c:strCache>
                <c:ptCount val="1"/>
                <c:pt idx="0">
                  <c:v>Programa</c:v>
                </c:pt>
              </c:strCache>
            </c:strRef>
          </c:cat>
          <c:val>
            <c:numRef>
              <c:f>Anual!$B$72</c:f>
              <c:numCache>
                <c:formatCode>_(* #,##0_);_(* \(#,##0\);_(* "-"??_);_(@_)</c:formatCode>
                <c:ptCount val="1"/>
                <c:pt idx="0">
                  <c:v>94.1009317285192</c:v>
                </c:pt>
              </c:numCache>
            </c:numRef>
          </c:val>
        </c:ser>
        <c:ser>
          <c:idx val="1"/>
          <c:order val="1"/>
          <c:tx>
            <c:strRef>
              <c:f>Anual!$A$73</c:f>
              <c:strCache>
                <c:ptCount val="1"/>
                <c:pt idx="0">
                  <c:v>Índice de uso de recursos (IUR) </c:v>
                </c:pt>
              </c:strCache>
            </c:strRef>
          </c:tx>
          <c:invertIfNegative val="0"/>
          <c:cat>
            <c:strRef>
              <c:f>Anual!$B$5</c:f>
              <c:strCache>
                <c:ptCount val="1"/>
                <c:pt idx="0">
                  <c:v>Programa</c:v>
                </c:pt>
              </c:strCache>
            </c:strRef>
          </c:cat>
          <c:val>
            <c:numRef>
              <c:f>Anual!$B$73</c:f>
              <c:numCache>
                <c:formatCode>_(* #,##0_);_(* \(#,##0\);_(* "-"??_);_(@_)</c:formatCode>
                <c:ptCount val="1"/>
                <c:pt idx="0">
                  <c:v>95.75975174588045</c:v>
                </c:pt>
              </c:numCache>
            </c:numRef>
          </c:val>
        </c:ser>
        <c:dLbls>
          <c:showLegendKey val="0"/>
          <c:showVal val="0"/>
          <c:showCatName val="0"/>
          <c:showSerName val="0"/>
          <c:showPercent val="0"/>
          <c:showBubbleSize val="0"/>
        </c:dLbls>
        <c:gapWidth val="150"/>
        <c:axId val="202126688"/>
        <c:axId val="202127080"/>
      </c:barChart>
      <c:catAx>
        <c:axId val="202126688"/>
        <c:scaling>
          <c:orientation val="minMax"/>
        </c:scaling>
        <c:delete val="0"/>
        <c:axPos val="b"/>
        <c:numFmt formatCode="General" sourceLinked="0"/>
        <c:majorTickMark val="none"/>
        <c:minorTickMark val="none"/>
        <c:tickLblPos val="nextTo"/>
        <c:crossAx val="202127080"/>
        <c:crosses val="autoZero"/>
        <c:auto val="1"/>
        <c:lblAlgn val="ctr"/>
        <c:lblOffset val="100"/>
        <c:noMultiLvlLbl val="0"/>
      </c:catAx>
      <c:valAx>
        <c:axId val="202127080"/>
        <c:scaling>
          <c:orientation val="minMax"/>
        </c:scaling>
        <c:delete val="0"/>
        <c:axPos val="l"/>
        <c:majorGridlines/>
        <c:numFmt formatCode="##,#00" sourceLinked="0"/>
        <c:majorTickMark val="none"/>
        <c:minorTickMark val="none"/>
        <c:tickLblPos val="nextTo"/>
        <c:crossAx val="202126688"/>
        <c:crosses val="autoZero"/>
        <c:crossBetween val="between"/>
      </c:valAx>
    </c:plotArea>
    <c:legend>
      <c:legendPos val="b"/>
      <c:layout>
        <c:manualLayout>
          <c:xMode val="edge"/>
          <c:yMode val="edge"/>
          <c:x val="7.3479292735547333E-2"/>
          <c:y val="0.80664080902777202"/>
          <c:w val="0.85304120081510471"/>
          <c:h val="7.75570441240288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R" sz="1400"/>
              <a:t>CEN-CINAI:</a:t>
            </a:r>
            <a:r>
              <a:rPr lang="es-CR" sz="1400" baseline="0"/>
              <a:t> </a:t>
            </a:r>
            <a:r>
              <a:rPr lang="es-CR" sz="1400"/>
              <a:t>Indicadores de Cobertura</a:t>
            </a:r>
          </a:p>
        </c:rich>
      </c:tx>
      <c:overlay val="0"/>
    </c:title>
    <c:autoTitleDeleted val="0"/>
    <c:plotArea>
      <c:layout/>
      <c:barChart>
        <c:barDir val="col"/>
        <c:grouping val="clustered"/>
        <c:varyColors val="0"/>
        <c:ser>
          <c:idx val="0"/>
          <c:order val="0"/>
          <c:tx>
            <c:strRef>
              <c:f>'I Trimestre'!$A$43</c:f>
              <c:strCache>
                <c:ptCount val="1"/>
                <c:pt idx="0">
                  <c:v>Cobertura Programada</c:v>
                </c:pt>
              </c:strCache>
            </c:strRef>
          </c:tx>
          <c:spPr>
            <a:solidFill>
              <a:srgbClr val="FFC000"/>
            </a:solidFill>
          </c:spPr>
          <c:invertIfNegative val="0"/>
          <c:cat>
            <c:multiLvlStrRef>
              <c:f>Anual!$T$19:$Y$20</c:f>
              <c:multiLvlStrCache>
                <c:ptCount val="6"/>
                <c:lvl>
                  <c:pt idx="0">
                    <c:v>Total</c:v>
                  </c:pt>
                  <c:pt idx="1">
                    <c:v>Intramuros</c:v>
                  </c:pt>
                  <c:pt idx="2">
                    <c:v>Extramuros</c:v>
                  </c:pt>
                  <c:pt idx="3">
                    <c:v>1.600 kgr</c:v>
                  </c:pt>
                  <c:pt idx="4">
                    <c:v>0.7-0,8 kgr</c:v>
                  </c:pt>
                  <c:pt idx="5">
                    <c:v>Paquetes</c:v>
                  </c:pt>
                </c:lvl>
                <c:lvl>
                  <c:pt idx="0">
                    <c:v>Programa</c:v>
                  </c:pt>
                  <c:pt idx="1">
                    <c:v>Comidas servidas</c:v>
                  </c:pt>
                  <c:pt idx="3">
                    <c:v>Leche</c:v>
                  </c:pt>
                  <c:pt idx="5">
                    <c:v>Alimentos</c:v>
                  </c:pt>
                </c:lvl>
              </c:multiLvlStrCache>
            </c:multiLvlStrRef>
          </c:cat>
          <c:val>
            <c:numRef>
              <c:f>Anual!$B$43:$G$43</c:f>
              <c:numCache>
                <c:formatCode>_(* #,##0_);_(* \(#,##0\);_(* "-"??_);_(@_)</c:formatCode>
                <c:ptCount val="6"/>
                <c:pt idx="0">
                  <c:v>164.43592499863931</c:v>
                </c:pt>
                <c:pt idx="1">
                  <c:v>34.982379034452734</c:v>
                </c:pt>
                <c:pt idx="2">
                  <c:v>11.64208349208077</c:v>
                </c:pt>
                <c:pt idx="3">
                  <c:v>129.45354596418656</c:v>
                </c:pt>
                <c:pt idx="4">
                  <c:v>66.175229957002131</c:v>
                </c:pt>
                <c:pt idx="5">
                  <c:v>9.5031885556704587</c:v>
                </c:pt>
              </c:numCache>
            </c:numRef>
          </c:val>
        </c:ser>
        <c:ser>
          <c:idx val="1"/>
          <c:order val="1"/>
          <c:tx>
            <c:strRef>
              <c:f>'I Trimestre'!$A$44</c:f>
              <c:strCache>
                <c:ptCount val="1"/>
                <c:pt idx="0">
                  <c:v>Cobertura Efectiva</c:v>
                </c:pt>
              </c:strCache>
            </c:strRef>
          </c:tx>
          <c:invertIfNegative val="0"/>
          <c:cat>
            <c:multiLvlStrRef>
              <c:f>Anual!$T$19:$Y$20</c:f>
              <c:multiLvlStrCache>
                <c:ptCount val="6"/>
                <c:lvl>
                  <c:pt idx="0">
                    <c:v>Total</c:v>
                  </c:pt>
                  <c:pt idx="1">
                    <c:v>Intramuros</c:v>
                  </c:pt>
                  <c:pt idx="2">
                    <c:v>Extramuros</c:v>
                  </c:pt>
                  <c:pt idx="3">
                    <c:v>1.600 kgr</c:v>
                  </c:pt>
                  <c:pt idx="4">
                    <c:v>0.7-0,8 kgr</c:v>
                  </c:pt>
                  <c:pt idx="5">
                    <c:v>Paquetes</c:v>
                  </c:pt>
                </c:lvl>
                <c:lvl>
                  <c:pt idx="0">
                    <c:v>Programa</c:v>
                  </c:pt>
                  <c:pt idx="1">
                    <c:v>Comidas servidas</c:v>
                  </c:pt>
                  <c:pt idx="3">
                    <c:v>Leche</c:v>
                  </c:pt>
                  <c:pt idx="5">
                    <c:v>Alimentos</c:v>
                  </c:pt>
                </c:lvl>
              </c:multiLvlStrCache>
            </c:multiLvlStrRef>
          </c:cat>
          <c:val>
            <c:numRef>
              <c:f>Anual!$B$44:$G$44</c:f>
              <c:numCache>
                <c:formatCode>_(* #,##0_);_(* \(#,##0\);_(* "-"??_);_(@_)</c:formatCode>
                <c:ptCount val="6"/>
                <c:pt idx="0">
                  <c:v>132.66851371451401</c:v>
                </c:pt>
                <c:pt idx="1">
                  <c:v>31.531096355158837</c:v>
                </c:pt>
                <c:pt idx="2">
                  <c:v>8.850509806055987</c:v>
                </c:pt>
                <c:pt idx="3">
                  <c:v>101.13741735935515</c:v>
                </c:pt>
                <c:pt idx="4">
                  <c:v>57.301021426368401</c:v>
                </c:pt>
                <c:pt idx="5">
                  <c:v>7.5538834158820016</c:v>
                </c:pt>
              </c:numCache>
            </c:numRef>
          </c:val>
        </c:ser>
        <c:dLbls>
          <c:showLegendKey val="0"/>
          <c:showVal val="0"/>
          <c:showCatName val="0"/>
          <c:showSerName val="0"/>
          <c:showPercent val="0"/>
          <c:showBubbleSize val="0"/>
        </c:dLbls>
        <c:gapWidth val="150"/>
        <c:axId val="201918072"/>
        <c:axId val="201918464"/>
      </c:barChart>
      <c:catAx>
        <c:axId val="201918072"/>
        <c:scaling>
          <c:orientation val="minMax"/>
        </c:scaling>
        <c:delete val="0"/>
        <c:axPos val="b"/>
        <c:numFmt formatCode="General" sourceLinked="1"/>
        <c:majorTickMark val="none"/>
        <c:minorTickMark val="none"/>
        <c:tickLblPos val="nextTo"/>
        <c:crossAx val="201918464"/>
        <c:crosses val="autoZero"/>
        <c:auto val="1"/>
        <c:lblAlgn val="ctr"/>
        <c:lblOffset val="100"/>
        <c:noMultiLvlLbl val="0"/>
      </c:catAx>
      <c:valAx>
        <c:axId val="201918464"/>
        <c:scaling>
          <c:orientation val="minMax"/>
        </c:scaling>
        <c:delete val="0"/>
        <c:axPos val="l"/>
        <c:majorGridlines/>
        <c:numFmt formatCode="_(* #,##0_);_(* \(#,##0\);_(* &quot;-&quot;??_);_(@_)" sourceLinked="1"/>
        <c:majorTickMark val="none"/>
        <c:minorTickMark val="none"/>
        <c:tickLblPos val="nextTo"/>
        <c:crossAx val="20191807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357188</xdr:colOff>
      <xdr:row>0</xdr:row>
      <xdr:rowOff>0</xdr:rowOff>
    </xdr:from>
    <xdr:to>
      <xdr:col>16</xdr:col>
      <xdr:colOff>71437</xdr:colOff>
      <xdr:row>16</xdr:row>
      <xdr:rowOff>47625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16</xdr:row>
      <xdr:rowOff>83343</xdr:rowOff>
    </xdr:from>
    <xdr:to>
      <xdr:col>16</xdr:col>
      <xdr:colOff>59531</xdr:colOff>
      <xdr:row>32</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404812</xdr:colOff>
      <xdr:row>33</xdr:row>
      <xdr:rowOff>23813</xdr:rowOff>
    </xdr:from>
    <xdr:to>
      <xdr:col>16</xdr:col>
      <xdr:colOff>11905</xdr:colOff>
      <xdr:row>48</xdr:row>
      <xdr:rowOff>154781</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404812</xdr:colOff>
      <xdr:row>49</xdr:row>
      <xdr:rowOff>63102</xdr:rowOff>
    </xdr:from>
    <xdr:to>
      <xdr:col>15</xdr:col>
      <xdr:colOff>738188</xdr:colOff>
      <xdr:row>65</xdr:row>
      <xdr:rowOff>119062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404812</xdr:colOff>
      <xdr:row>66</xdr:row>
      <xdr:rowOff>27382</xdr:rowOff>
    </xdr:from>
    <xdr:to>
      <xdr:col>15</xdr:col>
      <xdr:colOff>738188</xdr:colOff>
      <xdr:row>82</xdr:row>
      <xdr:rowOff>154782</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83344</xdr:colOff>
      <xdr:row>83</xdr:row>
      <xdr:rowOff>3571</xdr:rowOff>
    </xdr:from>
    <xdr:to>
      <xdr:col>1</xdr:col>
      <xdr:colOff>1095375</xdr:colOff>
      <xdr:row>98</xdr:row>
      <xdr:rowOff>119063</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11907</xdr:colOff>
      <xdr:row>82</xdr:row>
      <xdr:rowOff>182165</xdr:rowOff>
    </xdr:from>
    <xdr:to>
      <xdr:col>6</xdr:col>
      <xdr:colOff>381000</xdr:colOff>
      <xdr:row>98</xdr:row>
      <xdr:rowOff>119063</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762001</xdr:colOff>
      <xdr:row>85</xdr:row>
      <xdr:rowOff>170258</xdr:rowOff>
    </xdr:from>
    <xdr:to>
      <xdr:col>14</xdr:col>
      <xdr:colOff>559594</xdr:colOff>
      <xdr:row>101</xdr:row>
      <xdr:rowOff>83343</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2</xdr:row>
      <xdr:rowOff>0</xdr:rowOff>
    </xdr:from>
    <xdr:to>
      <xdr:col>24</xdr:col>
      <xdr:colOff>0</xdr:colOff>
      <xdr:row>16</xdr:row>
      <xdr:rowOff>50800</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0.02041</cdr:x>
      <cdr:y>0.89649</cdr:y>
    </cdr:from>
    <cdr:to>
      <cdr:x>0.96832</cdr:x>
      <cdr:y>0.99288</cdr:y>
    </cdr:to>
    <cdr:sp macro="" textlink="">
      <cdr:nvSpPr>
        <cdr:cNvPr id="2" name="1 CuadroTexto"/>
        <cdr:cNvSpPr txBox="1"/>
      </cdr:nvSpPr>
      <cdr:spPr>
        <a:xfrm xmlns:a="http://schemas.openxmlformats.org/drawingml/2006/main">
          <a:off x="103040" y="2807232"/>
          <a:ext cx="4785286" cy="3018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DESAF  e INEC .</a:t>
          </a:r>
          <a:endParaRPr lang="es-CR" sz="900">
            <a:latin typeface="+mn-l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0.02853</cdr:x>
      <cdr:y>0.90287</cdr:y>
    </cdr:from>
    <cdr:to>
      <cdr:x>0.96322</cdr:x>
      <cdr:y>1</cdr:y>
    </cdr:to>
    <cdr:sp macro="" textlink="">
      <cdr:nvSpPr>
        <cdr:cNvPr id="2" name="1 CuadroTexto"/>
        <cdr:cNvSpPr txBox="1"/>
      </cdr:nvSpPr>
      <cdr:spPr>
        <a:xfrm xmlns:a="http://schemas.openxmlformats.org/drawingml/2006/main">
          <a:off x="146050" y="2805697"/>
          <a:ext cx="4785320" cy="301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0.03153</cdr:x>
      <cdr:y>0.899</cdr:y>
    </cdr:from>
    <cdr:to>
      <cdr:x>1</cdr:x>
      <cdr:y>1</cdr:y>
    </cdr:to>
    <cdr:sp macro="" textlink="">
      <cdr:nvSpPr>
        <cdr:cNvPr id="2" name="1 CuadroTexto"/>
        <cdr:cNvSpPr txBox="1"/>
      </cdr:nvSpPr>
      <cdr:spPr>
        <a:xfrm xmlns:a="http://schemas.openxmlformats.org/drawingml/2006/main">
          <a:off x="155773" y="2686633"/>
          <a:ext cx="4785320" cy="301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a:t>
          </a:r>
          <a:endParaRPr lang="es-CR" sz="900">
            <a:latin typeface="+mn-l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0.02249</cdr:x>
      <cdr:y>0.89093</cdr:y>
    </cdr:from>
    <cdr:to>
      <cdr:x>0.99802</cdr:x>
      <cdr:y>0.98818</cdr:y>
    </cdr:to>
    <cdr:sp macro="" textlink="">
      <cdr:nvSpPr>
        <cdr:cNvPr id="2" name="1 CuadroTexto"/>
        <cdr:cNvSpPr txBox="1"/>
      </cdr:nvSpPr>
      <cdr:spPr>
        <a:xfrm xmlns:a="http://schemas.openxmlformats.org/drawingml/2006/main">
          <a:off x="110331" y="2765425"/>
          <a:ext cx="4785320" cy="301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DESAF  e INEC .</a:t>
          </a:r>
          <a:endParaRPr lang="es-CR" sz="900">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0.00307</cdr:x>
      <cdr:y>0.89076</cdr:y>
    </cdr:from>
    <cdr:to>
      <cdr:x>0.9786</cdr:x>
      <cdr:y>0.98511</cdr:y>
    </cdr:to>
    <cdr:sp macro="" textlink="">
      <cdr:nvSpPr>
        <cdr:cNvPr id="2" name="1 CuadroTexto"/>
        <cdr:cNvSpPr txBox="1"/>
      </cdr:nvSpPr>
      <cdr:spPr>
        <a:xfrm xmlns:a="http://schemas.openxmlformats.org/drawingml/2006/main">
          <a:off x="15060" y="2849742"/>
          <a:ext cx="4785341" cy="301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0.89013</cdr:y>
    </cdr:from>
    <cdr:to>
      <cdr:x>1</cdr:x>
      <cdr:y>0.99166</cdr:y>
    </cdr:to>
    <cdr:sp macro="" textlink="">
      <cdr:nvSpPr>
        <cdr:cNvPr id="2" name="1 CuadroTexto"/>
        <cdr:cNvSpPr txBox="1"/>
      </cdr:nvSpPr>
      <cdr:spPr>
        <a:xfrm xmlns:a="http://schemas.openxmlformats.org/drawingml/2006/main">
          <a:off x="0" y="2646363"/>
          <a:ext cx="4691062" cy="301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0.02684</cdr:x>
      <cdr:y>0.90028</cdr:y>
    </cdr:from>
    <cdr:to>
      <cdr:x>1</cdr:x>
      <cdr:y>1</cdr:y>
    </cdr:to>
    <cdr:sp macro="" textlink="">
      <cdr:nvSpPr>
        <cdr:cNvPr id="2" name="1 CuadroTexto"/>
        <cdr:cNvSpPr txBox="1"/>
      </cdr:nvSpPr>
      <cdr:spPr>
        <a:xfrm xmlns:a="http://schemas.openxmlformats.org/drawingml/2006/main">
          <a:off x="131980" y="2687242"/>
          <a:ext cx="4785301" cy="2976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0.89807</cdr:y>
    </cdr:from>
    <cdr:to>
      <cdr:x>1</cdr:x>
      <cdr:y>1</cdr:y>
    </cdr:to>
    <cdr:sp macro="" textlink="">
      <cdr:nvSpPr>
        <cdr:cNvPr id="2" name="1 CuadroTexto"/>
        <cdr:cNvSpPr txBox="1"/>
      </cdr:nvSpPr>
      <cdr:spPr>
        <a:xfrm xmlns:a="http://schemas.openxmlformats.org/drawingml/2006/main">
          <a:off x="0" y="2659250"/>
          <a:ext cx="4679155" cy="301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tabSelected="1" zoomScale="80" zoomScaleNormal="80" workbookViewId="0">
      <selection activeCell="G14" sqref="G14"/>
    </sheetView>
  </sheetViews>
  <sheetFormatPr baseColWidth="10" defaultRowHeight="15" x14ac:dyDescent="0.25"/>
  <cols>
    <col min="1" max="1" width="55.140625" style="12" customWidth="1"/>
    <col min="2" max="2" width="16.140625" style="12" customWidth="1"/>
    <col min="3" max="4" width="15.5703125" style="12" customWidth="1"/>
    <col min="5" max="6" width="14.5703125" style="12" customWidth="1"/>
    <col min="7" max="7" width="17.85546875" style="12" bestFit="1" customWidth="1"/>
    <col min="8" max="8" width="14.42578125" style="12" customWidth="1"/>
    <col min="9" max="9" width="15.28515625" style="12" bestFit="1" customWidth="1"/>
    <col min="10" max="16384" width="11.42578125" style="12"/>
  </cols>
  <sheetData>
    <row r="2" spans="1:9" ht="15.75" x14ac:dyDescent="0.25">
      <c r="A2" s="39" t="s">
        <v>0</v>
      </c>
      <c r="B2" s="39"/>
      <c r="C2" s="39"/>
      <c r="D2" s="39"/>
      <c r="E2" s="39"/>
      <c r="F2" s="39"/>
      <c r="G2" s="39"/>
    </row>
    <row r="4" spans="1:9" x14ac:dyDescent="0.25">
      <c r="A4" s="37" t="s">
        <v>1</v>
      </c>
      <c r="B4" s="26" t="s">
        <v>2</v>
      </c>
      <c r="C4" s="40" t="s">
        <v>3</v>
      </c>
      <c r="D4" s="40"/>
      <c r="E4" s="40"/>
      <c r="F4" s="40"/>
      <c r="G4" s="40"/>
      <c r="H4" s="40"/>
      <c r="I4" s="37" t="s">
        <v>125</v>
      </c>
    </row>
    <row r="5" spans="1:9" ht="15.75" thickBot="1" x14ac:dyDescent="0.3">
      <c r="A5" s="38"/>
      <c r="B5" s="27" t="s">
        <v>4</v>
      </c>
      <c r="C5" s="32" t="s">
        <v>5</v>
      </c>
      <c r="D5" s="32"/>
      <c r="E5" s="32" t="s">
        <v>139</v>
      </c>
      <c r="F5" s="32"/>
      <c r="G5" s="27" t="s">
        <v>6</v>
      </c>
      <c r="H5" s="28" t="s">
        <v>126</v>
      </c>
      <c r="I5" s="38"/>
    </row>
    <row r="6" spans="1:9" ht="15.75" thickTop="1" x14ac:dyDescent="0.25">
      <c r="B6" s="12" t="s">
        <v>2</v>
      </c>
      <c r="C6" s="24" t="s">
        <v>118</v>
      </c>
      <c r="D6" s="24" t="s">
        <v>119</v>
      </c>
      <c r="E6" s="24" t="s">
        <v>140</v>
      </c>
      <c r="F6" s="24" t="s">
        <v>141</v>
      </c>
      <c r="G6" s="24" t="s">
        <v>6</v>
      </c>
    </row>
    <row r="7" spans="1:9" x14ac:dyDescent="0.25">
      <c r="A7" s="29" t="s">
        <v>7</v>
      </c>
    </row>
    <row r="9" spans="1:9" x14ac:dyDescent="0.25">
      <c r="A9" s="12" t="s">
        <v>8</v>
      </c>
    </row>
    <row r="10" spans="1:9" x14ac:dyDescent="0.25">
      <c r="A10" s="30" t="s">
        <v>9</v>
      </c>
      <c r="B10" s="12">
        <f t="shared" ref="B10:B16" si="0">+C10+E10</f>
        <v>98842.333333333328</v>
      </c>
      <c r="C10" s="12">
        <f>64116/3</f>
        <v>21372</v>
      </c>
      <c r="D10" s="12">
        <f>8814/3</f>
        <v>2938</v>
      </c>
      <c r="E10" s="12">
        <f>232411/3</f>
        <v>77470.333333333328</v>
      </c>
      <c r="F10" s="12">
        <f>45998/3</f>
        <v>15332.666666666666</v>
      </c>
      <c r="G10" s="12">
        <f>13571/3</f>
        <v>4523.666666666667</v>
      </c>
      <c r="H10" s="21"/>
    </row>
    <row r="11" spans="1:9" x14ac:dyDescent="0.25">
      <c r="A11" s="33" t="s">
        <v>107</v>
      </c>
      <c r="B11" s="12">
        <f t="shared" si="0"/>
        <v>95741</v>
      </c>
      <c r="C11" s="12">
        <f>54812/3</f>
        <v>18270.666666666668</v>
      </c>
      <c r="D11" s="12">
        <f>8814/3</f>
        <v>2938</v>
      </c>
      <c r="E11" s="12">
        <f>232411/3</f>
        <v>77470.333333333328</v>
      </c>
      <c r="F11" s="12">
        <f>45998/3</f>
        <v>15332.666666666666</v>
      </c>
      <c r="G11" s="12">
        <f>13571/3</f>
        <v>4523.666666666667</v>
      </c>
      <c r="H11" s="21"/>
    </row>
    <row r="12" spans="1:9" x14ac:dyDescent="0.25">
      <c r="A12" s="30" t="s">
        <v>10</v>
      </c>
      <c r="B12" s="12">
        <f t="shared" si="0"/>
        <v>108411.66666666667</v>
      </c>
      <c r="C12" s="12">
        <v>26352.666666666668</v>
      </c>
      <c r="D12" s="12">
        <f>8556</f>
        <v>8556</v>
      </c>
      <c r="E12" s="12">
        <f>246177/3</f>
        <v>82059</v>
      </c>
      <c r="F12" s="12">
        <f>(60127+66797)/3</f>
        <v>42308</v>
      </c>
      <c r="G12" s="12">
        <f>(6248+7051*2)/3</f>
        <v>6783.333333333333</v>
      </c>
      <c r="H12" s="21"/>
    </row>
    <row r="13" spans="1:9" x14ac:dyDescent="0.25">
      <c r="A13" s="33" t="s">
        <v>107</v>
      </c>
      <c r="B13" s="12">
        <f t="shared" si="0"/>
        <v>103058</v>
      </c>
      <c r="C13" s="12">
        <v>20999</v>
      </c>
      <c r="D13" s="12">
        <f>8556</f>
        <v>8556</v>
      </c>
      <c r="E13" s="12">
        <f>246177/3</f>
        <v>82059</v>
      </c>
      <c r="F13" s="12">
        <f>(60127+66797)/3</f>
        <v>42308</v>
      </c>
      <c r="G13" s="12">
        <f>(6248+7051*2)/3</f>
        <v>6783.333333333333</v>
      </c>
      <c r="H13" s="21"/>
    </row>
    <row r="14" spans="1:9" x14ac:dyDescent="0.25">
      <c r="A14" s="30" t="s">
        <v>11</v>
      </c>
      <c r="B14" s="12">
        <f t="shared" si="0"/>
        <v>100811.33333333333</v>
      </c>
      <c r="C14" s="21">
        <v>23212.333333333332</v>
      </c>
      <c r="D14" s="12">
        <f>10009/3</f>
        <v>3336.3333333333335</v>
      </c>
      <c r="E14" s="12">
        <f>232797/3</f>
        <v>77599</v>
      </c>
      <c r="F14" s="12">
        <f>112266/3</f>
        <v>37422</v>
      </c>
      <c r="G14" s="12">
        <f>6614/3</f>
        <v>2204.6666666666665</v>
      </c>
      <c r="H14" s="21"/>
    </row>
    <row r="15" spans="1:9" x14ac:dyDescent="0.25">
      <c r="A15" s="33" t="s">
        <v>107</v>
      </c>
      <c r="B15" s="12">
        <f t="shared" si="0"/>
        <v>86308.666666666657</v>
      </c>
      <c r="C15" s="12">
        <v>19594.333333333332</v>
      </c>
      <c r="D15" s="12">
        <f>10009/3</f>
        <v>3336.3333333333335</v>
      </c>
      <c r="E15" s="12">
        <v>66714.333333333328</v>
      </c>
      <c r="F15" s="12">
        <f>112266/3</f>
        <v>37422</v>
      </c>
      <c r="G15" s="12">
        <f>6614/3</f>
        <v>2204.6666666666665</v>
      </c>
      <c r="H15" s="21"/>
    </row>
    <row r="16" spans="1:9" x14ac:dyDescent="0.25">
      <c r="A16" s="30" t="s">
        <v>12</v>
      </c>
      <c r="B16" s="12">
        <f t="shared" si="0"/>
        <v>131912.66666666666</v>
      </c>
      <c r="C16" s="12">
        <f>(347864+102672)/12</f>
        <v>37544.666666666664</v>
      </c>
      <c r="D16" s="12">
        <f>8556</f>
        <v>8556</v>
      </c>
      <c r="E16" s="12">
        <f>1132416/12</f>
        <v>94368</v>
      </c>
      <c r="F16" s="12">
        <f>(264561+293909)/12</f>
        <v>46539.166666666664</v>
      </c>
      <c r="G16" s="12">
        <f>84612/12</f>
        <v>7051</v>
      </c>
      <c r="H16" s="21"/>
    </row>
    <row r="18" spans="1:10" x14ac:dyDescent="0.25">
      <c r="A18" s="25" t="s">
        <v>13</v>
      </c>
    </row>
    <row r="19" spans="1:10" x14ac:dyDescent="0.25">
      <c r="A19" s="30" t="s">
        <v>9</v>
      </c>
      <c r="B19" s="12">
        <f>SUM(C19:G19)</f>
        <v>1622905134.29</v>
      </c>
      <c r="C19" s="41">
        <v>616965914</v>
      </c>
      <c r="D19" s="41"/>
      <c r="E19" s="41">
        <v>781477876.73000002</v>
      </c>
      <c r="F19" s="41"/>
      <c r="G19" s="12">
        <v>224461343.56</v>
      </c>
    </row>
    <row r="20" spans="1:10" x14ac:dyDescent="0.25">
      <c r="A20" s="30" t="s">
        <v>10</v>
      </c>
      <c r="B20" s="12">
        <f>SUM(C20:I20)</f>
        <v>2978528901</v>
      </c>
      <c r="C20" s="41">
        <f>1067277040+16170840</f>
        <v>1083447880</v>
      </c>
      <c r="D20" s="41"/>
      <c r="E20" s="41">
        <v>1485777808</v>
      </c>
      <c r="F20" s="41"/>
      <c r="G20" s="12">
        <v>409303213</v>
      </c>
      <c r="H20" s="21"/>
      <c r="I20" s="21"/>
      <c r="J20" s="34"/>
    </row>
    <row r="21" spans="1:10" x14ac:dyDescent="0.25">
      <c r="A21" s="30" t="s">
        <v>11</v>
      </c>
      <c r="B21" s="12">
        <f>SUM(C21:I21)</f>
        <v>2041223507</v>
      </c>
      <c r="C21" s="41">
        <v>893818247</v>
      </c>
      <c r="D21" s="41"/>
      <c r="E21" s="41">
        <v>1147405260</v>
      </c>
      <c r="F21" s="41"/>
      <c r="G21" s="12">
        <v>0</v>
      </c>
      <c r="H21" s="12">
        <v>0</v>
      </c>
      <c r="I21" s="12">
        <v>0</v>
      </c>
    </row>
    <row r="22" spans="1:10" x14ac:dyDescent="0.25">
      <c r="A22" s="30" t="s">
        <v>12</v>
      </c>
      <c r="B22" s="12">
        <f t="shared" ref="B22" si="1">SUM(C22:I22)</f>
        <v>13222919990.619999</v>
      </c>
      <c r="C22" s="41">
        <f>4695649000+64683360</f>
        <v>4760332360</v>
      </c>
      <c r="D22" s="41"/>
      <c r="E22" s="41">
        <v>6776922128</v>
      </c>
      <c r="F22" s="41"/>
      <c r="G22" s="12">
        <v>1685665502.6199999</v>
      </c>
      <c r="H22" s="21"/>
      <c r="I22" s="21"/>
      <c r="J22" s="34"/>
    </row>
    <row r="23" spans="1:10" x14ac:dyDescent="0.25">
      <c r="A23" s="30" t="s">
        <v>14</v>
      </c>
      <c r="B23" s="12">
        <f>SUM(C23:I23)</f>
        <v>1147405260</v>
      </c>
      <c r="C23" s="41">
        <v>0</v>
      </c>
      <c r="D23" s="41"/>
      <c r="E23" s="41">
        <f>E21</f>
        <v>1147405260</v>
      </c>
      <c r="F23" s="41"/>
      <c r="G23" s="12">
        <f>G21</f>
        <v>0</v>
      </c>
      <c r="H23" s="12">
        <f t="shared" ref="H23:I23" si="2">H21</f>
        <v>0</v>
      </c>
      <c r="I23" s="12">
        <f t="shared" si="2"/>
        <v>0</v>
      </c>
    </row>
    <row r="25" spans="1:10" x14ac:dyDescent="0.25">
      <c r="A25" s="51" t="s">
        <v>15</v>
      </c>
      <c r="B25" s="21"/>
      <c r="C25" s="21"/>
      <c r="D25" s="21"/>
      <c r="E25" s="21"/>
      <c r="F25" s="21"/>
      <c r="G25" s="21"/>
      <c r="H25" s="21"/>
      <c r="I25" s="21"/>
    </row>
    <row r="26" spans="1:10" x14ac:dyDescent="0.25">
      <c r="A26" s="52" t="s">
        <v>10</v>
      </c>
      <c r="B26" s="21">
        <f>B20</f>
        <v>2978528901</v>
      </c>
      <c r="C26" s="21"/>
      <c r="D26" s="21"/>
      <c r="E26" s="21"/>
      <c r="F26" s="21"/>
      <c r="G26" s="21"/>
      <c r="H26" s="21"/>
      <c r="I26" s="21"/>
    </row>
    <row r="27" spans="1:10" x14ac:dyDescent="0.25">
      <c r="A27" s="52" t="s">
        <v>11</v>
      </c>
      <c r="B27" s="21">
        <v>2276747070</v>
      </c>
      <c r="C27" s="21"/>
      <c r="D27" s="21"/>
      <c r="E27" s="21"/>
      <c r="F27" s="21"/>
      <c r="G27" s="21"/>
      <c r="H27" s="21"/>
      <c r="I27" s="21"/>
    </row>
    <row r="29" spans="1:10" x14ac:dyDescent="0.25">
      <c r="A29" s="12" t="s">
        <v>16</v>
      </c>
    </row>
    <row r="30" spans="1:10" x14ac:dyDescent="0.25">
      <c r="A30" s="52" t="s">
        <v>17</v>
      </c>
      <c r="B30" s="35">
        <v>1.3815129374949098</v>
      </c>
      <c r="C30" s="35">
        <v>1.3815129374949098</v>
      </c>
      <c r="D30" s="35">
        <v>1.3815129374949098</v>
      </c>
      <c r="E30" s="35">
        <v>1.3815129374949098</v>
      </c>
      <c r="F30" s="35">
        <v>1.3815129374949098</v>
      </c>
      <c r="G30" s="35">
        <v>1.3815129374949098</v>
      </c>
      <c r="H30" s="21"/>
      <c r="I30" s="21"/>
    </row>
    <row r="31" spans="1:10" x14ac:dyDescent="0.25">
      <c r="A31" s="52" t="s">
        <v>18</v>
      </c>
      <c r="B31" s="35">
        <v>1.4459435845989319</v>
      </c>
      <c r="C31" s="35">
        <v>1.4459435845989319</v>
      </c>
      <c r="D31" s="35">
        <v>1.4459435845989319</v>
      </c>
      <c r="E31" s="35">
        <v>1.4459435845989319</v>
      </c>
      <c r="F31" s="35">
        <v>1.4459435845989319</v>
      </c>
      <c r="G31" s="35">
        <v>1.4459435845989319</v>
      </c>
      <c r="H31" s="21"/>
      <c r="I31" s="21"/>
    </row>
    <row r="32" spans="1:10" x14ac:dyDescent="0.25">
      <c r="A32" s="30" t="s">
        <v>19</v>
      </c>
      <c r="B32" s="12">
        <v>73492</v>
      </c>
      <c r="C32" s="12">
        <v>73492</v>
      </c>
      <c r="D32" s="12">
        <v>73492</v>
      </c>
      <c r="E32" s="12">
        <v>73492</v>
      </c>
      <c r="F32" s="12">
        <v>73492</v>
      </c>
      <c r="G32" s="12">
        <v>73492</v>
      </c>
    </row>
    <row r="33" spans="1:9" x14ac:dyDescent="0.25">
      <c r="D33" s="31"/>
    </row>
    <row r="34" spans="1:9" x14ac:dyDescent="0.25">
      <c r="A34" s="53" t="s">
        <v>20</v>
      </c>
      <c r="B34" s="21"/>
      <c r="C34" s="21"/>
      <c r="D34" s="21"/>
      <c r="E34" s="21"/>
      <c r="F34" s="21"/>
      <c r="G34" s="21"/>
      <c r="H34" s="21"/>
      <c r="I34" s="21"/>
    </row>
    <row r="35" spans="1:9" x14ac:dyDescent="0.25">
      <c r="A35" s="21" t="s">
        <v>21</v>
      </c>
      <c r="B35" s="21">
        <f>B19/B30</f>
        <v>1174730319.3792779</v>
      </c>
      <c r="C35" s="21">
        <f t="shared" ref="C35:G35" si="3">C19/C30</f>
        <v>446587141.71634257</v>
      </c>
      <c r="D35" s="21"/>
      <c r="E35" s="21">
        <f t="shared" si="3"/>
        <v>565668156.64213014</v>
      </c>
      <c r="F35" s="21"/>
      <c r="G35" s="21">
        <f t="shared" si="3"/>
        <v>162475021.02080533</v>
      </c>
      <c r="H35" s="21"/>
      <c r="I35" s="21"/>
    </row>
    <row r="36" spans="1:9" x14ac:dyDescent="0.25">
      <c r="A36" s="21" t="s">
        <v>22</v>
      </c>
      <c r="B36" s="21">
        <f>B21/B31</f>
        <v>1411689590.6185606</v>
      </c>
      <c r="C36" s="21">
        <f t="shared" ref="C36:G36" si="4">C21/C31</f>
        <v>618155684.99370086</v>
      </c>
      <c r="D36" s="21"/>
      <c r="E36" s="21">
        <f t="shared" si="4"/>
        <v>793533905.62485957</v>
      </c>
      <c r="F36" s="21"/>
      <c r="G36" s="21">
        <f t="shared" si="4"/>
        <v>0</v>
      </c>
      <c r="H36" s="21"/>
      <c r="I36" s="21"/>
    </row>
    <row r="37" spans="1:9" x14ac:dyDescent="0.25">
      <c r="A37" s="21" t="s">
        <v>23</v>
      </c>
      <c r="B37" s="21">
        <f>B35/B10</f>
        <v>11884.890610763385</v>
      </c>
      <c r="C37" s="21">
        <f>C35/(C10+D10)</f>
        <v>18370.511794172875</v>
      </c>
      <c r="D37" s="21"/>
      <c r="E37" s="21">
        <f>E35/(E10+F10)</f>
        <v>6095.364984344581</v>
      </c>
      <c r="F37" s="21"/>
      <c r="G37" s="21">
        <f>G35/G10</f>
        <v>35916.665172972956</v>
      </c>
      <c r="H37" s="21"/>
      <c r="I37" s="21"/>
    </row>
    <row r="38" spans="1:9" x14ac:dyDescent="0.25">
      <c r="A38" s="21" t="s">
        <v>24</v>
      </c>
      <c r="B38" s="21">
        <f>B36/B14</f>
        <v>14003.282606637091</v>
      </c>
      <c r="C38" s="21">
        <f>C36/(C14+D14)</f>
        <v>23283.869308955913</v>
      </c>
      <c r="D38" s="21"/>
      <c r="E38" s="21">
        <f>E36/(E14+F14)</f>
        <v>6899.0350077364965</v>
      </c>
      <c r="F38" s="21"/>
      <c r="G38" s="54">
        <f>G36/G14</f>
        <v>0</v>
      </c>
      <c r="H38" s="54"/>
      <c r="I38" s="54"/>
    </row>
    <row r="40" spans="1:9" x14ac:dyDescent="0.25">
      <c r="A40" s="29" t="s">
        <v>25</v>
      </c>
    </row>
    <row r="42" spans="1:9" x14ac:dyDescent="0.25">
      <c r="A42" s="12" t="s">
        <v>26</v>
      </c>
    </row>
    <row r="43" spans="1:9" x14ac:dyDescent="0.25">
      <c r="A43" s="12" t="s">
        <v>27</v>
      </c>
      <c r="B43" s="35">
        <f>(B13/B32)*100</f>
        <v>140.23022914058674</v>
      </c>
      <c r="C43" s="35">
        <f t="shared" ref="C43:G43" si="5">(C13/C32)*100</f>
        <v>28.573178032983183</v>
      </c>
      <c r="D43" s="35">
        <f t="shared" si="5"/>
        <v>11.64208349208077</v>
      </c>
      <c r="E43" s="35">
        <f t="shared" si="5"/>
        <v>111.65705110760355</v>
      </c>
      <c r="F43" s="35">
        <f t="shared" si="5"/>
        <v>57.56817068524466</v>
      </c>
      <c r="G43" s="35">
        <f t="shared" si="5"/>
        <v>9.2300295723797596</v>
      </c>
      <c r="H43" s="21"/>
      <c r="I43" s="21"/>
    </row>
    <row r="44" spans="1:9" x14ac:dyDescent="0.25">
      <c r="A44" s="12" t="s">
        <v>28</v>
      </c>
      <c r="B44" s="35">
        <f>(B15/B32)*100</f>
        <v>117.4395399045701</v>
      </c>
      <c r="C44" s="35">
        <f t="shared" ref="C44:G44" si="6">(C15/C32)*100</f>
        <v>26.661858887135104</v>
      </c>
      <c r="D44" s="35">
        <f t="shared" si="6"/>
        <v>4.5397231444692396</v>
      </c>
      <c r="E44" s="35">
        <f t="shared" si="6"/>
        <v>90.777681017435</v>
      </c>
      <c r="F44" s="35">
        <f t="shared" si="6"/>
        <v>50.919828008490718</v>
      </c>
      <c r="G44" s="35">
        <f t="shared" si="6"/>
        <v>2.9998730020501094</v>
      </c>
      <c r="H44" s="21"/>
      <c r="I44" s="21"/>
    </row>
    <row r="45" spans="1:9" x14ac:dyDescent="0.25">
      <c r="B45" s="36"/>
      <c r="C45" s="36"/>
      <c r="D45" s="36"/>
      <c r="E45" s="36"/>
      <c r="F45" s="36"/>
      <c r="G45" s="36"/>
    </row>
    <row r="46" spans="1:9" x14ac:dyDescent="0.25">
      <c r="A46" s="12" t="s">
        <v>29</v>
      </c>
      <c r="B46" s="36"/>
      <c r="C46" s="36"/>
      <c r="D46" s="36"/>
      <c r="E46" s="36"/>
      <c r="F46" s="36"/>
      <c r="G46" s="36"/>
    </row>
    <row r="47" spans="1:9" x14ac:dyDescent="0.25">
      <c r="A47" s="12" t="s">
        <v>30</v>
      </c>
      <c r="B47" s="36">
        <f>B14/B12*100</f>
        <v>92.989376912078953</v>
      </c>
      <c r="C47" s="36">
        <f t="shared" ref="C47:G47" si="7">C14/C12*100</f>
        <v>88.083432416706714</v>
      </c>
      <c r="D47" s="36">
        <f t="shared" si="7"/>
        <v>38.994078229702353</v>
      </c>
      <c r="E47" s="36">
        <f t="shared" si="7"/>
        <v>94.564886240388006</v>
      </c>
      <c r="F47" s="36">
        <f t="shared" si="7"/>
        <v>88.451356717405687</v>
      </c>
      <c r="G47" s="36">
        <f t="shared" si="7"/>
        <v>32.501228501228503</v>
      </c>
    </row>
    <row r="48" spans="1:9" x14ac:dyDescent="0.25">
      <c r="A48" s="12" t="s">
        <v>31</v>
      </c>
      <c r="B48" s="36">
        <f>B21/B20*100</f>
        <v>68.531264085256566</v>
      </c>
      <c r="C48" s="36">
        <f>C21/C20*100</f>
        <v>82.49757681006308</v>
      </c>
      <c r="D48" s="36"/>
      <c r="E48" s="36">
        <f>E21/E20*100</f>
        <v>77.225898369320646</v>
      </c>
      <c r="F48" s="36"/>
      <c r="G48" s="36">
        <f>G21/G20*100</f>
        <v>0</v>
      </c>
    </row>
    <row r="49" spans="1:9" x14ac:dyDescent="0.25">
      <c r="A49" s="21" t="s">
        <v>32</v>
      </c>
      <c r="B49" s="35">
        <f>AVERAGE(B47:B48)</f>
        <v>80.760320498667767</v>
      </c>
      <c r="C49" s="35">
        <f>(C47+D47+C48)/3</f>
        <v>69.858362485490716</v>
      </c>
      <c r="D49" s="35"/>
      <c r="E49" s="35">
        <f>(E47+F47+E48)/3</f>
        <v>86.747380442371437</v>
      </c>
      <c r="F49" s="35"/>
      <c r="G49" s="35">
        <f t="shared" ref="G49" si="8">AVERAGE(G47:G48)</f>
        <v>16.250614250614252</v>
      </c>
      <c r="H49" s="21"/>
      <c r="I49" s="21"/>
    </row>
    <row r="50" spans="1:9" x14ac:dyDescent="0.25">
      <c r="B50" s="36"/>
      <c r="C50" s="36"/>
      <c r="D50" s="36"/>
      <c r="E50" s="36"/>
      <c r="F50" s="36"/>
      <c r="G50" s="36"/>
    </row>
    <row r="51" spans="1:9" x14ac:dyDescent="0.25">
      <c r="A51" s="12" t="s">
        <v>33</v>
      </c>
      <c r="B51" s="36"/>
      <c r="C51" s="36"/>
      <c r="D51" s="36"/>
      <c r="E51" s="36"/>
      <c r="F51" s="36"/>
      <c r="G51" s="36"/>
    </row>
    <row r="52" spans="1:9" x14ac:dyDescent="0.25">
      <c r="A52" s="12" t="s">
        <v>34</v>
      </c>
      <c r="B52" s="36">
        <f t="shared" ref="B52:C52" si="9">((B14/(B16))*100)</f>
        <v>76.422784771742926</v>
      </c>
      <c r="C52" s="36">
        <f t="shared" si="9"/>
        <v>61.825914022408867</v>
      </c>
      <c r="D52" s="36">
        <f>((D14/(D16))*100)</f>
        <v>38.994078229702353</v>
      </c>
      <c r="E52" s="36">
        <f t="shared" ref="E52:G52" si="10">((E14/(E16))*100)</f>
        <v>82.230205154289592</v>
      </c>
      <c r="F52" s="36">
        <f t="shared" si="10"/>
        <v>80.409690762261178</v>
      </c>
      <c r="G52" s="36">
        <f t="shared" si="10"/>
        <v>31.267432515482437</v>
      </c>
    </row>
    <row r="53" spans="1:9" x14ac:dyDescent="0.25">
      <c r="A53" s="12" t="s">
        <v>35</v>
      </c>
      <c r="B53" s="36">
        <f>B21/B22*100</f>
        <v>15.437010194782935</v>
      </c>
      <c r="C53" s="36">
        <f>C21/C22*100</f>
        <v>18.77638323135908</v>
      </c>
      <c r="D53" s="36"/>
      <c r="E53" s="36">
        <f>E21/E22*100</f>
        <v>16.931067501267293</v>
      </c>
      <c r="F53" s="36"/>
      <c r="G53" s="36">
        <f>G21/G22*100</f>
        <v>0</v>
      </c>
    </row>
    <row r="54" spans="1:9" x14ac:dyDescent="0.25">
      <c r="A54" s="12" t="s">
        <v>36</v>
      </c>
      <c r="B54" s="36">
        <f>(B52+B53)/2</f>
        <v>45.929897483262934</v>
      </c>
      <c r="C54" s="36">
        <f>(C52+D52+C53)/3</f>
        <v>39.865458494490099</v>
      </c>
      <c r="D54" s="36"/>
      <c r="E54" s="36">
        <f>(E52+F52+E53)/3</f>
        <v>59.856987805939355</v>
      </c>
      <c r="F54" s="36"/>
      <c r="G54" s="36">
        <f t="shared" ref="G54" si="11">(G52+G53)/2</f>
        <v>15.633716257741218</v>
      </c>
    </row>
    <row r="56" spans="1:9" x14ac:dyDescent="0.25">
      <c r="A56" s="12" t="s">
        <v>110</v>
      </c>
    </row>
    <row r="57" spans="1:9" x14ac:dyDescent="0.25">
      <c r="A57" s="12" t="s">
        <v>37</v>
      </c>
      <c r="B57" s="12" t="s">
        <v>138</v>
      </c>
      <c r="C57" s="12" t="s">
        <v>138</v>
      </c>
      <c r="D57" s="12" t="s">
        <v>138</v>
      </c>
      <c r="E57" s="12" t="s">
        <v>138</v>
      </c>
      <c r="F57" s="12" t="s">
        <v>138</v>
      </c>
      <c r="G57" s="12" t="s">
        <v>138</v>
      </c>
    </row>
    <row r="59" spans="1:9" x14ac:dyDescent="0.25">
      <c r="A59" s="12" t="s">
        <v>38</v>
      </c>
    </row>
    <row r="60" spans="1:9" x14ac:dyDescent="0.25">
      <c r="A60" s="12" t="s">
        <v>39</v>
      </c>
      <c r="B60" s="36">
        <f>((B14/B10)-1)*100</f>
        <v>1.9920614311681462</v>
      </c>
      <c r="C60" s="36">
        <f t="shared" ref="C60:G60" si="12">((C14/C10)-1)*100</f>
        <v>8.6109551438018563</v>
      </c>
      <c r="D60" s="36">
        <f t="shared" si="12"/>
        <v>13.557975947356482</v>
      </c>
      <c r="E60" s="36">
        <f t="shared" si="12"/>
        <v>0.16608508203139749</v>
      </c>
      <c r="F60" s="36">
        <f t="shared" si="12"/>
        <v>144.06713335362409</v>
      </c>
      <c r="G60" s="36">
        <f t="shared" si="12"/>
        <v>-51.263724117603715</v>
      </c>
    </row>
    <row r="61" spans="1:9" x14ac:dyDescent="0.25">
      <c r="A61" s="12" t="s">
        <v>40</v>
      </c>
      <c r="B61" s="36">
        <f>((B36/B35)-1)*100</f>
        <v>20.171376130352272</v>
      </c>
      <c r="C61" s="36">
        <f t="shared" ref="C61:G61" si="13">((C36/C35)-1)*100</f>
        <v>38.417707822482036</v>
      </c>
      <c r="D61" s="36"/>
      <c r="E61" s="36">
        <f t="shared" si="13"/>
        <v>40.282583756414049</v>
      </c>
      <c r="F61" s="36"/>
      <c r="G61" s="36">
        <f t="shared" si="13"/>
        <v>-100</v>
      </c>
    </row>
    <row r="62" spans="1:9" x14ac:dyDescent="0.25">
      <c r="A62" s="21" t="s">
        <v>41</v>
      </c>
      <c r="B62" s="35">
        <f>((B38/B37)-1)*100</f>
        <v>17.824244793260569</v>
      </c>
      <c r="C62" s="35">
        <f t="shared" ref="C62:G62" si="14">((C38/C37)-1)*100</f>
        <v>26.745893472285044</v>
      </c>
      <c r="D62" s="35"/>
      <c r="E62" s="35">
        <f t="shared" si="14"/>
        <v>13.184936840633377</v>
      </c>
      <c r="F62" s="35"/>
      <c r="G62" s="35">
        <f t="shared" si="14"/>
        <v>-100</v>
      </c>
      <c r="H62" s="21"/>
      <c r="I62" s="21"/>
    </row>
    <row r="63" spans="1:9" x14ac:dyDescent="0.25">
      <c r="A63" s="21"/>
      <c r="B63" s="21"/>
      <c r="C63" s="21"/>
      <c r="D63" s="21"/>
      <c r="E63" s="21"/>
      <c r="F63" s="21"/>
      <c r="G63" s="21"/>
      <c r="H63" s="21"/>
      <c r="I63" s="21"/>
    </row>
    <row r="64" spans="1:9" x14ac:dyDescent="0.25">
      <c r="A64" s="12" t="s">
        <v>42</v>
      </c>
    </row>
    <row r="65" spans="1:9" x14ac:dyDescent="0.25">
      <c r="A65" s="21" t="s">
        <v>114</v>
      </c>
      <c r="B65" s="21">
        <f>B20/(B12*3)</f>
        <v>9158.0823127892145</v>
      </c>
      <c r="C65" s="21">
        <f>C20/((C12+D12)*3)</f>
        <v>10345.548192425947</v>
      </c>
      <c r="D65" s="21"/>
      <c r="E65" s="21">
        <f t="shared" ref="E65:G65" si="15">E20/(E12*3)</f>
        <v>6035.4046397510738</v>
      </c>
      <c r="F65" s="21"/>
      <c r="G65" s="21">
        <f t="shared" si="15"/>
        <v>20113.18</v>
      </c>
      <c r="H65" s="21"/>
      <c r="I65" s="21"/>
    </row>
    <row r="66" spans="1:9" x14ac:dyDescent="0.25">
      <c r="A66" s="21" t="s">
        <v>115</v>
      </c>
      <c r="B66" s="21">
        <f>B21/(B14*3)</f>
        <v>6749.3188827975691</v>
      </c>
      <c r="C66" s="21">
        <f>C21/((C14+D14)*3)</f>
        <v>11222.387150641589</v>
      </c>
      <c r="D66" s="21"/>
      <c r="E66" s="21">
        <f t="shared" ref="E66" si="16">E21/(E14*3)</f>
        <v>4928.7802677869558</v>
      </c>
      <c r="F66" s="21"/>
      <c r="G66" s="21">
        <f>G21/(G14*3)</f>
        <v>0</v>
      </c>
      <c r="H66" s="21"/>
      <c r="I66" s="21"/>
    </row>
    <row r="67" spans="1:9" x14ac:dyDescent="0.25">
      <c r="A67" s="21" t="s">
        <v>45</v>
      </c>
      <c r="B67" s="35">
        <f>(B65/B66)*B49</f>
        <v>109.58285948218109</v>
      </c>
      <c r="C67" s="35">
        <f>(C65/C66)*C49</f>
        <v>64.400117910411481</v>
      </c>
      <c r="D67" s="35"/>
      <c r="E67" s="35">
        <f>(E65/E66)*E49</f>
        <v>106.22415972364273</v>
      </c>
      <c r="F67" s="35"/>
      <c r="G67" s="35" t="e">
        <f>(G65/G66)*G49</f>
        <v>#DIV/0!</v>
      </c>
      <c r="H67" s="21"/>
      <c r="I67" s="21"/>
    </row>
    <row r="68" spans="1:9" x14ac:dyDescent="0.25">
      <c r="A68" s="21" t="s">
        <v>109</v>
      </c>
      <c r="B68" s="21">
        <f>B20/B12</f>
        <v>27474.24693836764</v>
      </c>
      <c r="C68" s="21">
        <f>C20/(C12+D12)</f>
        <v>31036.644577277846</v>
      </c>
      <c r="D68" s="21"/>
      <c r="E68" s="21">
        <f t="shared" ref="E68:G68" si="17">E20/E12</f>
        <v>18106.21391925322</v>
      </c>
      <c r="F68" s="21"/>
      <c r="G68" s="21">
        <f t="shared" si="17"/>
        <v>60339.54</v>
      </c>
      <c r="H68" s="21"/>
      <c r="I68" s="21"/>
    </row>
    <row r="69" spans="1:9" x14ac:dyDescent="0.25">
      <c r="A69" s="21" t="s">
        <v>108</v>
      </c>
      <c r="B69" s="21">
        <f>B21/B14</f>
        <v>20247.956648392708</v>
      </c>
      <c r="C69" s="21">
        <f>C21/(C14+D14)</f>
        <v>33667.161451924767</v>
      </c>
      <c r="D69" s="21"/>
      <c r="E69" s="21">
        <f t="shared" ref="E69:G69" si="18">E21/E14</f>
        <v>14786.340803360868</v>
      </c>
      <c r="F69" s="21"/>
      <c r="G69" s="21">
        <f t="shared" si="18"/>
        <v>0</v>
      </c>
      <c r="H69" s="21"/>
      <c r="I69" s="21"/>
    </row>
    <row r="70" spans="1:9" x14ac:dyDescent="0.25">
      <c r="A70" s="21"/>
      <c r="B70" s="21"/>
      <c r="C70" s="21"/>
      <c r="D70" s="21"/>
      <c r="E70" s="21"/>
      <c r="F70" s="21"/>
      <c r="G70" s="21"/>
      <c r="H70" s="21"/>
      <c r="I70" s="21"/>
    </row>
    <row r="71" spans="1:9" x14ac:dyDescent="0.25">
      <c r="A71" s="21" t="s">
        <v>46</v>
      </c>
      <c r="B71" s="21"/>
      <c r="C71" s="21"/>
      <c r="D71" s="21"/>
      <c r="E71" s="21"/>
      <c r="F71" s="21"/>
      <c r="G71" s="21"/>
      <c r="H71" s="21"/>
      <c r="I71" s="21"/>
    </row>
    <row r="72" spans="1:9" x14ac:dyDescent="0.25">
      <c r="A72" s="21" t="s">
        <v>47</v>
      </c>
      <c r="B72" s="35">
        <f>(B27/B26)*100</f>
        <v>76.438642889636341</v>
      </c>
      <c r="C72" s="21"/>
      <c r="D72" s="21"/>
      <c r="E72" s="21"/>
      <c r="F72" s="21"/>
      <c r="G72" s="21"/>
      <c r="H72" s="21"/>
      <c r="I72" s="21"/>
    </row>
    <row r="73" spans="1:9" x14ac:dyDescent="0.25">
      <c r="A73" s="21" t="s">
        <v>48</v>
      </c>
      <c r="B73" s="35">
        <f>(B21/B27)*100</f>
        <v>89.655260081217548</v>
      </c>
      <c r="C73" s="21"/>
      <c r="D73" s="21"/>
      <c r="E73" s="21"/>
      <c r="F73" s="21"/>
      <c r="G73" s="21"/>
      <c r="H73" s="21"/>
      <c r="I73" s="21"/>
    </row>
    <row r="74" spans="1:9" ht="15.75" thickBot="1" x14ac:dyDescent="0.3">
      <c r="A74" s="55"/>
      <c r="B74" s="55"/>
      <c r="C74" s="55"/>
      <c r="D74" s="55"/>
      <c r="E74" s="55"/>
      <c r="F74" s="55"/>
      <c r="G74" s="55"/>
      <c r="H74" s="55"/>
      <c r="I74" s="55"/>
    </row>
    <row r="75" spans="1:9" ht="15.75" thickTop="1" x14ac:dyDescent="0.25">
      <c r="A75" s="31" t="s">
        <v>122</v>
      </c>
    </row>
    <row r="76" spans="1:9" x14ac:dyDescent="0.25">
      <c r="A76" s="12" t="s">
        <v>60</v>
      </c>
    </row>
    <row r="77" spans="1:9" x14ac:dyDescent="0.25">
      <c r="A77" s="12" t="s">
        <v>61</v>
      </c>
    </row>
    <row r="78" spans="1:9" x14ac:dyDescent="0.25">
      <c r="A78" s="12" t="s">
        <v>113</v>
      </c>
    </row>
    <row r="79" spans="1:9" x14ac:dyDescent="0.25">
      <c r="A79" s="12" t="s">
        <v>128</v>
      </c>
    </row>
    <row r="80" spans="1:9" x14ac:dyDescent="0.25">
      <c r="A80" s="12" t="s">
        <v>123</v>
      </c>
    </row>
    <row r="81" spans="1:1" x14ac:dyDescent="0.25">
      <c r="A81" s="12" t="s">
        <v>121</v>
      </c>
    </row>
    <row r="82" spans="1:1" x14ac:dyDescent="0.25">
      <c r="A82" s="12" t="s">
        <v>130</v>
      </c>
    </row>
  </sheetData>
  <mergeCells count="14">
    <mergeCell ref="A4:A5"/>
    <mergeCell ref="A2:G2"/>
    <mergeCell ref="C4:H4"/>
    <mergeCell ref="I4:I5"/>
    <mergeCell ref="E23:F23"/>
    <mergeCell ref="C23:D23"/>
    <mergeCell ref="C19:D19"/>
    <mergeCell ref="E19:F19"/>
    <mergeCell ref="C21:D21"/>
    <mergeCell ref="C20:D20"/>
    <mergeCell ref="C22:D22"/>
    <mergeCell ref="E20:F20"/>
    <mergeCell ref="E21:F21"/>
    <mergeCell ref="E22:F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topLeftCell="B1" zoomScale="75" zoomScaleNormal="75" workbookViewId="0">
      <selection activeCell="M28" sqref="M28"/>
    </sheetView>
  </sheetViews>
  <sheetFormatPr baseColWidth="10" defaultRowHeight="15" x14ac:dyDescent="0.25"/>
  <cols>
    <col min="1" max="1" width="55.140625" customWidth="1"/>
    <col min="2" max="2" width="18.5703125" bestFit="1" customWidth="1"/>
    <col min="3" max="4" width="16.5703125" customWidth="1"/>
    <col min="5" max="6" width="17.42578125" customWidth="1"/>
    <col min="7" max="7" width="18.5703125" customWidth="1"/>
    <col min="8" max="8" width="12.7109375" bestFit="1" customWidth="1"/>
    <col min="9" max="9" width="15.140625" bestFit="1" customWidth="1"/>
  </cols>
  <sheetData>
    <row r="2" spans="1:10" ht="15.75" x14ac:dyDescent="0.25">
      <c r="A2" s="42" t="s">
        <v>49</v>
      </c>
      <c r="B2" s="42"/>
      <c r="C2" s="42"/>
      <c r="D2" s="42"/>
      <c r="E2" s="42"/>
      <c r="F2" s="42"/>
      <c r="G2" s="42"/>
    </row>
    <row r="4" spans="1:10" x14ac:dyDescent="0.25">
      <c r="A4" s="43" t="s">
        <v>1</v>
      </c>
      <c r="B4" s="13" t="s">
        <v>2</v>
      </c>
      <c r="C4" s="46" t="s">
        <v>3</v>
      </c>
      <c r="D4" s="46"/>
      <c r="E4" s="46"/>
      <c r="F4" s="46"/>
      <c r="G4" s="46"/>
      <c r="H4" s="46"/>
      <c r="I4" s="43" t="s">
        <v>125</v>
      </c>
    </row>
    <row r="5" spans="1:10" ht="15.75" thickBot="1" x14ac:dyDescent="0.3">
      <c r="A5" s="44"/>
      <c r="B5" s="1" t="s">
        <v>4</v>
      </c>
      <c r="C5" s="45" t="s">
        <v>5</v>
      </c>
      <c r="D5" s="45"/>
      <c r="E5" s="45" t="s">
        <v>127</v>
      </c>
      <c r="F5" s="45"/>
      <c r="G5" s="1" t="s">
        <v>6</v>
      </c>
      <c r="H5" s="9" t="s">
        <v>126</v>
      </c>
      <c r="I5" s="44"/>
    </row>
    <row r="6" spans="1:10" ht="15.75" thickTop="1" x14ac:dyDescent="0.25">
      <c r="B6" t="s">
        <v>2</v>
      </c>
      <c r="C6" s="20" t="s">
        <v>118</v>
      </c>
      <c r="D6" s="20" t="s">
        <v>119</v>
      </c>
      <c r="E6" s="20">
        <v>1600</v>
      </c>
      <c r="F6" s="20" t="s">
        <v>120</v>
      </c>
      <c r="G6" s="20" t="s">
        <v>6</v>
      </c>
    </row>
    <row r="7" spans="1:10" x14ac:dyDescent="0.25">
      <c r="A7" s="2" t="s">
        <v>7</v>
      </c>
    </row>
    <row r="9" spans="1:10" x14ac:dyDescent="0.25">
      <c r="A9" s="18" t="s">
        <v>8</v>
      </c>
      <c r="B9" s="18"/>
      <c r="C9" s="18"/>
      <c r="D9" s="18"/>
      <c r="E9" s="18"/>
      <c r="F9" s="18"/>
      <c r="G9" s="18"/>
      <c r="H9" s="18"/>
      <c r="I9" s="18"/>
      <c r="J9" s="18"/>
    </row>
    <row r="10" spans="1:10" x14ac:dyDescent="0.25">
      <c r="A10" s="56" t="s">
        <v>50</v>
      </c>
      <c r="B10" s="21">
        <f>C10+E10</f>
        <v>95731.333333333328</v>
      </c>
      <c r="C10" s="21">
        <f>(72950+20435)/3</f>
        <v>31128.333333333332</v>
      </c>
      <c r="D10" s="21">
        <f>20435/3</f>
        <v>6811.666666666667</v>
      </c>
      <c r="E10" s="21">
        <f>193809/3</f>
        <v>64603</v>
      </c>
      <c r="F10" s="57">
        <f>59865/3</f>
        <v>19955</v>
      </c>
      <c r="G10" s="21">
        <f>14410/3</f>
        <v>4803.333333333333</v>
      </c>
      <c r="H10" s="18"/>
      <c r="I10" s="18"/>
      <c r="J10" s="18"/>
    </row>
    <row r="11" spans="1:10" x14ac:dyDescent="0.25">
      <c r="A11" s="58" t="s">
        <v>107</v>
      </c>
      <c r="B11" s="21">
        <f>C11+E11</f>
        <v>91369.666666666672</v>
      </c>
      <c r="C11" s="21">
        <f>80300/3</f>
        <v>26766.666666666668</v>
      </c>
      <c r="D11" s="21">
        <f>20435/3</f>
        <v>6811.666666666667</v>
      </c>
      <c r="E11" s="21">
        <f>193809/3</f>
        <v>64603</v>
      </c>
      <c r="F11" s="57">
        <f>59865/3</f>
        <v>19955</v>
      </c>
      <c r="G11" s="21">
        <f>14410/3</f>
        <v>4803.333333333333</v>
      </c>
      <c r="H11" s="18"/>
      <c r="I11" s="18"/>
      <c r="J11" s="18"/>
    </row>
    <row r="12" spans="1:10" x14ac:dyDescent="0.25">
      <c r="A12" s="56" t="s">
        <v>51</v>
      </c>
      <c r="B12" s="21">
        <f t="shared" ref="B12:B15" si="0">C12+E12</f>
        <v>138651</v>
      </c>
      <c r="C12" s="21">
        <f>(94872+25668)/3</f>
        <v>40180</v>
      </c>
      <c r="D12" s="21">
        <f>8556</f>
        <v>8556</v>
      </c>
      <c r="E12" s="21">
        <f>295413/3</f>
        <v>98471</v>
      </c>
      <c r="F12" s="57">
        <f>(24051*2+25136+26719*2+27590)/3</f>
        <v>51422</v>
      </c>
      <c r="G12" s="21">
        <f>21153/3</f>
        <v>7051</v>
      </c>
      <c r="H12" s="18"/>
      <c r="I12" s="18"/>
      <c r="J12" s="18"/>
    </row>
    <row r="13" spans="1:10" x14ac:dyDescent="0.25">
      <c r="A13" s="58" t="s">
        <v>107</v>
      </c>
      <c r="B13" s="21">
        <f t="shared" si="0"/>
        <v>132226</v>
      </c>
      <c r="C13" s="21">
        <f>(75597+25668)/3</f>
        <v>33755</v>
      </c>
      <c r="D13" s="21">
        <f>8556</f>
        <v>8556</v>
      </c>
      <c r="E13" s="21">
        <f>295413/3</f>
        <v>98471</v>
      </c>
      <c r="F13" s="57">
        <f>(24051*2+25136+26719*2+27590)/3</f>
        <v>51422</v>
      </c>
      <c r="G13" s="21">
        <f>21153/3</f>
        <v>7051</v>
      </c>
      <c r="H13" s="18"/>
      <c r="I13" s="18"/>
      <c r="J13" s="18"/>
    </row>
    <row r="14" spans="1:10" x14ac:dyDescent="0.25">
      <c r="A14" s="56" t="s">
        <v>52</v>
      </c>
      <c r="B14" s="21">
        <f t="shared" si="0"/>
        <v>120805.66666666666</v>
      </c>
      <c r="C14" s="21">
        <v>31239.333333333332</v>
      </c>
      <c r="D14" s="21">
        <f>21805/3</f>
        <v>7268.333333333333</v>
      </c>
      <c r="E14" s="21">
        <f>268699/3</f>
        <v>89566.333333333328</v>
      </c>
      <c r="F14" s="21">
        <v>45280</v>
      </c>
      <c r="G14" s="21">
        <f>17859/3</f>
        <v>5953</v>
      </c>
      <c r="H14" s="21"/>
      <c r="I14" s="18"/>
      <c r="J14" s="18"/>
    </row>
    <row r="15" spans="1:10" x14ac:dyDescent="0.25">
      <c r="A15" s="58" t="s">
        <v>107</v>
      </c>
      <c r="B15" s="21">
        <f t="shared" si="0"/>
        <v>100829.66666666667</v>
      </c>
      <c r="C15" s="21">
        <f>75597/3</f>
        <v>25199</v>
      </c>
      <c r="D15" s="21">
        <f>21805/3</f>
        <v>7268.333333333333</v>
      </c>
      <c r="E15" s="21">
        <v>75630.666666666672</v>
      </c>
      <c r="F15" s="21">
        <v>45280</v>
      </c>
      <c r="G15" s="21">
        <f>17859/3</f>
        <v>5953</v>
      </c>
      <c r="H15" s="18"/>
      <c r="I15" s="18"/>
      <c r="J15" s="18"/>
    </row>
    <row r="16" spans="1:10" x14ac:dyDescent="0.25">
      <c r="A16" s="56" t="s">
        <v>12</v>
      </c>
      <c r="B16" s="21">
        <f>C16+E16</f>
        <v>131912.66666666666</v>
      </c>
      <c r="C16" s="5">
        <f>(347864+102672)/12</f>
        <v>37544.666666666664</v>
      </c>
      <c r="D16" s="5">
        <f>8556</f>
        <v>8556</v>
      </c>
      <c r="E16" s="5">
        <f>1132416/12</f>
        <v>94368</v>
      </c>
      <c r="F16" s="21">
        <f>(277456+306146)/12</f>
        <v>48633.5</v>
      </c>
      <c r="G16" s="5">
        <f>84612/12</f>
        <v>7051</v>
      </c>
      <c r="H16" s="18"/>
      <c r="I16" s="18"/>
      <c r="J16" s="18"/>
    </row>
    <row r="17" spans="1:10" x14ac:dyDescent="0.25">
      <c r="A17" s="18"/>
      <c r="B17" s="23"/>
      <c r="C17" s="23"/>
      <c r="D17" s="23"/>
      <c r="E17" s="23"/>
      <c r="F17" s="23"/>
      <c r="G17" s="23"/>
      <c r="H17" s="18"/>
      <c r="I17" s="18"/>
      <c r="J17" s="18"/>
    </row>
    <row r="18" spans="1:10" x14ac:dyDescent="0.25">
      <c r="A18" s="59" t="s">
        <v>13</v>
      </c>
      <c r="B18" s="21">
        <v>1094720501</v>
      </c>
      <c r="C18" s="23"/>
      <c r="D18" s="18"/>
      <c r="E18" s="23"/>
      <c r="F18" s="23"/>
      <c r="G18" s="23"/>
      <c r="H18" s="18"/>
      <c r="I18" s="18"/>
      <c r="J18" s="18"/>
    </row>
    <row r="19" spans="1:10" x14ac:dyDescent="0.25">
      <c r="A19" s="56" t="s">
        <v>50</v>
      </c>
      <c r="B19" s="21">
        <f>SUM(C19:G19)</f>
        <v>2012289072.4100001</v>
      </c>
      <c r="C19" s="48">
        <f>806571800+11464035</f>
        <v>818035835</v>
      </c>
      <c r="D19" s="48"/>
      <c r="E19" s="48">
        <v>937230281.11000001</v>
      </c>
      <c r="F19" s="48"/>
      <c r="G19" s="21">
        <v>257022956.30000001</v>
      </c>
      <c r="H19" s="18"/>
      <c r="I19" s="18"/>
      <c r="J19" s="18"/>
    </row>
    <row r="20" spans="1:10" x14ac:dyDescent="0.25">
      <c r="A20" s="56" t="s">
        <v>51</v>
      </c>
      <c r="B20" s="21">
        <f>SUM(C20:I20)</f>
        <v>3505332960.54</v>
      </c>
      <c r="C20" s="48">
        <f>1280769000+16170840</f>
        <v>1296939840</v>
      </c>
      <c r="D20" s="48"/>
      <c r="E20" s="48">
        <v>1782939024</v>
      </c>
      <c r="F20" s="48"/>
      <c r="G20" s="21">
        <f>141818032.18*3</f>
        <v>425454096.54000002</v>
      </c>
      <c r="H20" s="5"/>
      <c r="I20" s="18"/>
      <c r="J20" s="22"/>
    </row>
    <row r="21" spans="1:10" x14ac:dyDescent="0.25">
      <c r="A21" s="56" t="s">
        <v>52</v>
      </c>
      <c r="B21" s="21">
        <f>SUM(C21:I21)</f>
        <v>2527868608.02</v>
      </c>
      <c r="C21" s="48">
        <v>1094720501</v>
      </c>
      <c r="D21" s="48"/>
      <c r="E21" s="48">
        <f>981444.12*1000</f>
        <v>981444120</v>
      </c>
      <c r="F21" s="48"/>
      <c r="G21" s="21">
        <f>348431.32*1000</f>
        <v>348431320</v>
      </c>
      <c r="H21" s="5">
        <v>0</v>
      </c>
      <c r="I21" s="21">
        <v>103272667.02</v>
      </c>
      <c r="J21" s="18"/>
    </row>
    <row r="22" spans="1:10" x14ac:dyDescent="0.25">
      <c r="A22" s="56" t="s">
        <v>12</v>
      </c>
      <c r="B22" s="21">
        <f>SUM(C22:I22)</f>
        <v>13222919990.619999</v>
      </c>
      <c r="C22" s="48">
        <f>4695649000+64683360</f>
        <v>4760332360</v>
      </c>
      <c r="D22" s="48"/>
      <c r="E22" s="48">
        <v>6776922128</v>
      </c>
      <c r="F22" s="48"/>
      <c r="G22" s="21">
        <v>1685665502.6199999</v>
      </c>
      <c r="H22" s="18"/>
      <c r="I22" s="18"/>
      <c r="J22" s="22"/>
    </row>
    <row r="23" spans="1:10" x14ac:dyDescent="0.25">
      <c r="A23" s="56" t="s">
        <v>53</v>
      </c>
      <c r="B23" s="5">
        <f>SUM(C23:I23)</f>
        <v>1329875440</v>
      </c>
      <c r="C23" s="48">
        <v>0</v>
      </c>
      <c r="D23" s="48"/>
      <c r="E23" s="48">
        <f>E21</f>
        <v>981444120</v>
      </c>
      <c r="F23" s="48"/>
      <c r="G23" s="21">
        <f>G21</f>
        <v>348431320</v>
      </c>
      <c r="H23" s="18">
        <v>0</v>
      </c>
      <c r="I23" s="18">
        <v>0</v>
      </c>
      <c r="J23" s="18"/>
    </row>
    <row r="24" spans="1:10" x14ac:dyDescent="0.25">
      <c r="A24" s="18"/>
      <c r="B24" s="23"/>
      <c r="C24" s="23"/>
      <c r="D24" s="23"/>
      <c r="E24" s="23"/>
      <c r="F24" s="23"/>
      <c r="G24" s="23"/>
      <c r="H24" s="18"/>
      <c r="I24" s="18"/>
      <c r="J24" s="18"/>
    </row>
    <row r="25" spans="1:10" x14ac:dyDescent="0.25">
      <c r="A25" s="59" t="s">
        <v>15</v>
      </c>
      <c r="B25" s="23"/>
      <c r="C25" s="23"/>
      <c r="D25" s="23"/>
      <c r="E25" s="23"/>
      <c r="F25" s="23"/>
      <c r="G25" s="23"/>
      <c r="H25" s="23"/>
      <c r="I25" s="23"/>
      <c r="J25" s="18"/>
    </row>
    <row r="26" spans="1:10" x14ac:dyDescent="0.25">
      <c r="A26" s="56" t="s">
        <v>51</v>
      </c>
      <c r="B26" s="23">
        <f>B20</f>
        <v>3505332960.54</v>
      </c>
      <c r="C26" s="23"/>
      <c r="D26" s="23"/>
      <c r="E26" s="23"/>
      <c r="F26" s="23"/>
      <c r="G26" s="23"/>
      <c r="H26" s="23"/>
      <c r="I26" s="23"/>
      <c r="J26" s="18"/>
    </row>
    <row r="27" spans="1:10" x14ac:dyDescent="0.25">
      <c r="A27" s="56" t="s">
        <v>52</v>
      </c>
      <c r="B27" s="23">
        <v>2437027232</v>
      </c>
      <c r="C27" s="23"/>
      <c r="D27" s="23"/>
      <c r="E27" s="23"/>
      <c r="F27" s="23"/>
      <c r="G27" s="23"/>
      <c r="H27" s="23"/>
      <c r="I27" s="23"/>
      <c r="J27" s="18"/>
    </row>
    <row r="28" spans="1:10" x14ac:dyDescent="0.25">
      <c r="A28" s="18"/>
      <c r="B28" s="18"/>
      <c r="C28" s="18"/>
      <c r="D28" s="18"/>
      <c r="E28" s="18"/>
      <c r="F28" s="18"/>
      <c r="G28" s="18"/>
      <c r="H28" s="18"/>
      <c r="I28" s="18"/>
      <c r="J28" s="18"/>
    </row>
    <row r="29" spans="1:10" x14ac:dyDescent="0.25">
      <c r="A29" s="18" t="s">
        <v>16</v>
      </c>
      <c r="B29" s="18"/>
      <c r="C29" s="18"/>
      <c r="D29" s="18"/>
      <c r="E29" s="18"/>
      <c r="F29" s="18"/>
      <c r="G29" s="18"/>
      <c r="H29" s="18"/>
      <c r="I29" s="18"/>
      <c r="J29" s="18"/>
    </row>
    <row r="30" spans="1:10" x14ac:dyDescent="0.25">
      <c r="A30" s="56" t="s">
        <v>54</v>
      </c>
      <c r="B30" s="60">
        <v>1.39</v>
      </c>
      <c r="C30" s="60">
        <v>1.39</v>
      </c>
      <c r="D30" s="60">
        <v>1.39</v>
      </c>
      <c r="E30" s="60">
        <v>1.39</v>
      </c>
      <c r="F30" s="60">
        <v>1.39</v>
      </c>
      <c r="G30" s="60">
        <v>1.39</v>
      </c>
      <c r="H30" s="60"/>
      <c r="I30" s="60"/>
      <c r="J30" s="18"/>
    </row>
    <row r="31" spans="1:10" x14ac:dyDescent="0.25">
      <c r="A31" s="56" t="s">
        <v>55</v>
      </c>
      <c r="B31" s="60">
        <v>1.46</v>
      </c>
      <c r="C31" s="60">
        <v>1.46</v>
      </c>
      <c r="D31" s="60">
        <v>1.46</v>
      </c>
      <c r="E31" s="60">
        <v>1.46</v>
      </c>
      <c r="F31" s="60">
        <v>1.46</v>
      </c>
      <c r="G31" s="60">
        <v>1.46</v>
      </c>
      <c r="H31" s="60"/>
      <c r="I31" s="60"/>
      <c r="J31" s="18"/>
    </row>
    <row r="32" spans="1:10" x14ac:dyDescent="0.25">
      <c r="A32" s="56" t="s">
        <v>19</v>
      </c>
      <c r="B32" s="5">
        <v>73492</v>
      </c>
      <c r="C32" s="5">
        <v>73492</v>
      </c>
      <c r="D32" s="5">
        <v>73492</v>
      </c>
      <c r="E32" s="5">
        <v>73492</v>
      </c>
      <c r="F32" s="5">
        <v>73492</v>
      </c>
      <c r="G32" s="5">
        <v>73492</v>
      </c>
      <c r="H32" s="5"/>
      <c r="I32" s="5"/>
      <c r="J32" s="18"/>
    </row>
    <row r="33" spans="1:10" x14ac:dyDescent="0.25">
      <c r="A33" s="18"/>
      <c r="B33" s="18"/>
      <c r="C33" s="18"/>
      <c r="D33" s="18"/>
      <c r="E33" s="18"/>
      <c r="F33" s="18"/>
      <c r="G33" s="18"/>
      <c r="H33" s="18"/>
      <c r="I33" s="18"/>
      <c r="J33" s="18"/>
    </row>
    <row r="34" spans="1:10" x14ac:dyDescent="0.25">
      <c r="A34" s="61" t="s">
        <v>20</v>
      </c>
      <c r="B34" s="18"/>
      <c r="C34" s="18"/>
      <c r="D34" s="18"/>
      <c r="E34" s="18"/>
      <c r="F34" s="18"/>
      <c r="G34" s="18"/>
      <c r="H34" s="18"/>
      <c r="I34" s="18"/>
      <c r="J34" s="18"/>
    </row>
    <row r="35" spans="1:10" x14ac:dyDescent="0.25">
      <c r="A35" s="18" t="s">
        <v>56</v>
      </c>
      <c r="B35" s="5">
        <f>B19/B30</f>
        <v>1447689980.1510794</v>
      </c>
      <c r="C35" s="5">
        <f t="shared" ref="C35:G35" si="1">C19/C30</f>
        <v>588514989.20863318</v>
      </c>
      <c r="D35" s="5"/>
      <c r="E35" s="5">
        <f t="shared" si="1"/>
        <v>674266389.28776979</v>
      </c>
      <c r="F35" s="5"/>
      <c r="G35" s="5">
        <f t="shared" si="1"/>
        <v>184908601.65467629</v>
      </c>
      <c r="H35" s="5"/>
      <c r="I35" s="5"/>
      <c r="J35" s="18"/>
    </row>
    <row r="36" spans="1:10" x14ac:dyDescent="0.25">
      <c r="A36" s="18" t="s">
        <v>57</v>
      </c>
      <c r="B36" s="5">
        <f>B21/B31</f>
        <v>1731416854.8082192</v>
      </c>
      <c r="C36" s="5">
        <f t="shared" ref="C36:G36" si="2">C21/C31</f>
        <v>749808562.32876718</v>
      </c>
      <c r="D36" s="5"/>
      <c r="E36" s="5">
        <f t="shared" si="2"/>
        <v>672222000</v>
      </c>
      <c r="F36" s="5"/>
      <c r="G36" s="5">
        <f t="shared" si="2"/>
        <v>238651589.04109588</v>
      </c>
      <c r="H36" s="5"/>
      <c r="I36" s="5"/>
      <c r="J36" s="18"/>
    </row>
    <row r="37" spans="1:10" x14ac:dyDescent="0.25">
      <c r="A37" s="18" t="s">
        <v>58</v>
      </c>
      <c r="B37" s="5">
        <f>B35/B10</f>
        <v>15122.425748634158</v>
      </c>
      <c r="C37" s="5">
        <f>C35/(C10+D10)</f>
        <v>15511.728761429446</v>
      </c>
      <c r="D37" s="5"/>
      <c r="E37" s="5">
        <f>E35/(E10+F10)</f>
        <v>7974.0106115065373</v>
      </c>
      <c r="F37" s="5"/>
      <c r="G37" s="5">
        <f>G35/G10</f>
        <v>38495.892086330947</v>
      </c>
      <c r="H37" s="5"/>
      <c r="I37" s="5"/>
      <c r="J37" s="18"/>
    </row>
    <row r="38" spans="1:10" x14ac:dyDescent="0.25">
      <c r="A38" s="18" t="s">
        <v>59</v>
      </c>
      <c r="B38" s="5">
        <f>B36/B14</f>
        <v>14332.248665003734</v>
      </c>
      <c r="C38" s="5">
        <f>C36/(C14+D14)</f>
        <v>19471.669598143242</v>
      </c>
      <c r="D38" s="5"/>
      <c r="E38" s="5">
        <f>E36/(E14+F14)</f>
        <v>4985.0966161482584</v>
      </c>
      <c r="F38" s="5"/>
      <c r="G38" s="62">
        <f>G36/G14</f>
        <v>40089.297671946224</v>
      </c>
      <c r="H38" s="62"/>
      <c r="I38" s="62"/>
      <c r="J38" s="18"/>
    </row>
    <row r="39" spans="1:10" x14ac:dyDescent="0.25">
      <c r="A39" s="18"/>
      <c r="B39" s="18"/>
      <c r="C39" s="18"/>
      <c r="D39" s="18"/>
      <c r="E39" s="18"/>
      <c r="F39" s="18"/>
      <c r="G39" s="18"/>
      <c r="H39" s="18"/>
      <c r="I39" s="18"/>
      <c r="J39" s="18"/>
    </row>
    <row r="40" spans="1:10" x14ac:dyDescent="0.25">
      <c r="A40" s="61" t="s">
        <v>25</v>
      </c>
      <c r="B40" s="18"/>
      <c r="C40" s="18"/>
      <c r="D40" s="18"/>
      <c r="E40" s="18"/>
      <c r="F40" s="18"/>
      <c r="G40" s="18"/>
      <c r="H40" s="18"/>
      <c r="I40" s="18"/>
      <c r="J40" s="18"/>
    </row>
    <row r="41" spans="1:10" x14ac:dyDescent="0.25">
      <c r="A41" s="18"/>
      <c r="B41" s="18"/>
      <c r="C41" s="18"/>
      <c r="D41" s="18"/>
      <c r="E41" s="18"/>
      <c r="F41" s="18"/>
      <c r="G41" s="18"/>
      <c r="H41" s="18"/>
      <c r="I41" s="18"/>
      <c r="J41" s="18"/>
    </row>
    <row r="42" spans="1:10" x14ac:dyDescent="0.25">
      <c r="A42" s="18" t="s">
        <v>26</v>
      </c>
      <c r="B42" s="18"/>
      <c r="C42" s="18"/>
      <c r="D42" s="18"/>
      <c r="E42" s="18"/>
      <c r="F42" s="18"/>
      <c r="G42" s="18"/>
      <c r="H42" s="18"/>
      <c r="I42" s="18"/>
      <c r="J42" s="18"/>
    </row>
    <row r="43" spans="1:10" x14ac:dyDescent="0.25">
      <c r="A43" s="18" t="s">
        <v>27</v>
      </c>
      <c r="B43" s="8">
        <f>(B13/B32)*100</f>
        <v>179.91890273771293</v>
      </c>
      <c r="C43" s="8">
        <f t="shared" ref="C43:G43" si="3">(C13/C32)*100</f>
        <v>45.930169270124637</v>
      </c>
      <c r="D43" s="8">
        <f t="shared" si="3"/>
        <v>11.64208349208077</v>
      </c>
      <c r="E43" s="8">
        <f t="shared" si="3"/>
        <v>133.9887334675883</v>
      </c>
      <c r="F43" s="8">
        <f t="shared" si="3"/>
        <v>69.969520492026334</v>
      </c>
      <c r="G43" s="8">
        <f t="shared" si="3"/>
        <v>9.5942415501006906</v>
      </c>
      <c r="H43" s="8"/>
      <c r="I43" s="8"/>
      <c r="J43" s="18"/>
    </row>
    <row r="44" spans="1:10" x14ac:dyDescent="0.25">
      <c r="A44" s="18" t="s">
        <v>28</v>
      </c>
      <c r="B44" s="8">
        <f>(B15/B32)*100</f>
        <v>137.19815308695732</v>
      </c>
      <c r="C44" s="8">
        <f t="shared" ref="C44:G44" si="4">(C15/C32)*100</f>
        <v>34.288085778043872</v>
      </c>
      <c r="D44" s="8">
        <f t="shared" si="4"/>
        <v>9.889965347702244</v>
      </c>
      <c r="E44" s="8">
        <f t="shared" si="4"/>
        <v>102.91006730891345</v>
      </c>
      <c r="F44" s="8">
        <f t="shared" si="4"/>
        <v>61.612148261035216</v>
      </c>
      <c r="G44" s="8">
        <f t="shared" si="4"/>
        <v>8.1002013824633963</v>
      </c>
      <c r="H44" s="8"/>
      <c r="I44" s="8"/>
      <c r="J44" s="18"/>
    </row>
    <row r="45" spans="1:10" x14ac:dyDescent="0.25">
      <c r="A45" s="18"/>
      <c r="B45" s="18"/>
      <c r="C45" s="18"/>
      <c r="D45" s="18"/>
      <c r="E45" s="18"/>
      <c r="F45" s="18"/>
      <c r="G45" s="18"/>
      <c r="H45" s="18"/>
      <c r="I45" s="18"/>
      <c r="J45" s="18"/>
    </row>
    <row r="46" spans="1:10" x14ac:dyDescent="0.25">
      <c r="A46" s="18" t="s">
        <v>29</v>
      </c>
      <c r="B46" s="18"/>
      <c r="C46" s="18"/>
      <c r="D46" s="18"/>
      <c r="E46" s="18"/>
      <c r="F46" s="18"/>
      <c r="G46" s="18"/>
      <c r="H46" s="18"/>
      <c r="I46" s="18"/>
      <c r="J46" s="18"/>
    </row>
    <row r="47" spans="1:10" x14ac:dyDescent="0.25">
      <c r="A47" s="18" t="s">
        <v>30</v>
      </c>
      <c r="B47" s="8">
        <f>B14/B12*100</f>
        <v>87.129315090887658</v>
      </c>
      <c r="C47" s="8">
        <f t="shared" ref="C47:G47" si="5">C14/C12*100</f>
        <v>77.748465239754438</v>
      </c>
      <c r="D47" s="8">
        <f t="shared" si="5"/>
        <v>84.950132460651389</v>
      </c>
      <c r="E47" s="8">
        <f t="shared" si="5"/>
        <v>90.957066886020584</v>
      </c>
      <c r="F47" s="8">
        <f t="shared" si="5"/>
        <v>88.055696005600709</v>
      </c>
      <c r="G47" s="8">
        <f t="shared" si="5"/>
        <v>84.427740745993475</v>
      </c>
      <c r="H47" s="8"/>
      <c r="I47" s="8"/>
      <c r="J47" s="18"/>
    </row>
    <row r="48" spans="1:10" x14ac:dyDescent="0.25">
      <c r="A48" s="18" t="s">
        <v>31</v>
      </c>
      <c r="B48" s="8">
        <f>B21/B20*100</f>
        <v>72.114935627415534</v>
      </c>
      <c r="C48" s="8">
        <f>C21/C20*100</f>
        <v>84.407963055556991</v>
      </c>
      <c r="D48" s="8"/>
      <c r="E48" s="8">
        <f>E21/E20*100</f>
        <v>55.046420925722032</v>
      </c>
      <c r="F48" s="8"/>
      <c r="G48" s="8">
        <f>G21/G20*100</f>
        <v>81.89633683953528</v>
      </c>
      <c r="H48" s="8"/>
      <c r="I48" s="8"/>
      <c r="J48" s="18"/>
    </row>
    <row r="49" spans="1:10" x14ac:dyDescent="0.25">
      <c r="A49" s="18" t="s">
        <v>32</v>
      </c>
      <c r="B49" s="8">
        <f>AVERAGE(B47:B48)</f>
        <v>79.622125359151596</v>
      </c>
      <c r="C49" s="8">
        <f>(C47+D47+C48)/3</f>
        <v>82.368853585320934</v>
      </c>
      <c r="D49" s="8"/>
      <c r="E49" s="8">
        <f>(E47+F47+E48)/3</f>
        <v>78.019727939114446</v>
      </c>
      <c r="F49" s="8"/>
      <c r="G49" s="8">
        <f t="shared" ref="G49" si="6">AVERAGE(G47:G48)</f>
        <v>83.162038792764378</v>
      </c>
      <c r="H49" s="8"/>
      <c r="I49" s="8"/>
      <c r="J49" s="18"/>
    </row>
    <row r="50" spans="1:10" x14ac:dyDescent="0.25">
      <c r="A50" s="18"/>
      <c r="B50" s="8"/>
      <c r="C50" s="8"/>
      <c r="D50" s="8"/>
      <c r="E50" s="8"/>
      <c r="F50" s="8"/>
      <c r="G50" s="8"/>
      <c r="H50" s="8"/>
      <c r="I50" s="8"/>
      <c r="J50" s="18"/>
    </row>
    <row r="51" spans="1:10" x14ac:dyDescent="0.25">
      <c r="A51" s="18" t="s">
        <v>33</v>
      </c>
      <c r="B51" s="18"/>
      <c r="C51" s="18"/>
      <c r="D51" s="18"/>
      <c r="E51" s="18"/>
      <c r="F51" s="18"/>
      <c r="G51" s="18"/>
      <c r="H51" s="18"/>
      <c r="I51" s="18"/>
      <c r="J51" s="18"/>
    </row>
    <row r="52" spans="1:10" x14ac:dyDescent="0.25">
      <c r="A52" s="18" t="s">
        <v>34</v>
      </c>
      <c r="B52" s="8">
        <f>((B14/(B16))*100)</f>
        <v>91.580035275864333</v>
      </c>
      <c r="C52" s="8">
        <f t="shared" ref="C52:G52" si="7">((C14/(C16))*100)</f>
        <v>83.205781557966517</v>
      </c>
      <c r="D52" s="8">
        <f t="shared" si="7"/>
        <v>84.950132460651389</v>
      </c>
      <c r="E52" s="8">
        <f t="shared" si="7"/>
        <v>94.911763874759799</v>
      </c>
      <c r="F52" s="8">
        <f t="shared" si="7"/>
        <v>93.104547277082673</v>
      </c>
      <c r="G52" s="8">
        <f t="shared" si="7"/>
        <v>84.427740745993475</v>
      </c>
      <c r="H52" s="8"/>
      <c r="I52" s="8"/>
      <c r="J52" s="18"/>
    </row>
    <row r="53" spans="1:10" x14ac:dyDescent="0.25">
      <c r="A53" s="18" t="s">
        <v>35</v>
      </c>
      <c r="B53" s="8">
        <f>B21/B22*100</f>
        <v>19.117325143109127</v>
      </c>
      <c r="C53" s="8">
        <f>C21/C22*100</f>
        <v>22.996724140496777</v>
      </c>
      <c r="D53" s="8"/>
      <c r="E53" s="8">
        <f>E21/E22*100</f>
        <v>14.482151358136427</v>
      </c>
      <c r="F53" s="8"/>
      <c r="G53" s="8">
        <f>G21/G22*100</f>
        <v>20.670252755273179</v>
      </c>
      <c r="H53" s="8"/>
      <c r="I53" s="8"/>
      <c r="J53" s="18"/>
    </row>
    <row r="54" spans="1:10" x14ac:dyDescent="0.25">
      <c r="A54" s="18" t="s">
        <v>36</v>
      </c>
      <c r="B54" s="8">
        <f>(B52+B53)/2</f>
        <v>55.34868020948673</v>
      </c>
      <c r="C54" s="8">
        <f>(C52+D52+C53)/3</f>
        <v>63.717546053038234</v>
      </c>
      <c r="D54" s="8"/>
      <c r="E54" s="8">
        <f>(E52+F52+E53)/3</f>
        <v>67.499487503326307</v>
      </c>
      <c r="F54" s="8"/>
      <c r="G54" s="8">
        <f t="shared" ref="G54" si="8">(G52+G53)/2</f>
        <v>52.548996750633329</v>
      </c>
      <c r="H54" s="8"/>
      <c r="I54" s="8"/>
      <c r="J54" s="18"/>
    </row>
    <row r="55" spans="1:10" x14ac:dyDescent="0.25">
      <c r="A55" s="18"/>
      <c r="B55" s="8"/>
      <c r="C55" s="8"/>
      <c r="D55" s="8"/>
      <c r="E55" s="8"/>
      <c r="F55" s="8"/>
      <c r="G55" s="8"/>
      <c r="H55" s="8"/>
      <c r="I55" s="8"/>
      <c r="J55" s="18"/>
    </row>
    <row r="56" spans="1:10" x14ac:dyDescent="0.25">
      <c r="A56" s="18" t="s">
        <v>110</v>
      </c>
      <c r="B56" s="18"/>
      <c r="C56" s="18"/>
      <c r="D56" s="18"/>
      <c r="E56" s="18"/>
      <c r="F56" s="18"/>
      <c r="G56" s="18"/>
      <c r="H56" s="18"/>
      <c r="I56" s="18"/>
      <c r="J56" s="18"/>
    </row>
    <row r="57" spans="1:10" x14ac:dyDescent="0.25">
      <c r="A57" s="18" t="s">
        <v>37</v>
      </c>
      <c r="B57" s="8" t="s">
        <v>138</v>
      </c>
      <c r="C57" s="8" t="s">
        <v>138</v>
      </c>
      <c r="D57" s="8" t="s">
        <v>138</v>
      </c>
      <c r="E57" s="8" t="s">
        <v>138</v>
      </c>
      <c r="F57" s="8" t="s">
        <v>138</v>
      </c>
      <c r="G57" s="8" t="s">
        <v>138</v>
      </c>
      <c r="H57" s="8"/>
      <c r="I57" s="8"/>
      <c r="J57" s="18"/>
    </row>
    <row r="58" spans="1:10" x14ac:dyDescent="0.25">
      <c r="A58" s="18"/>
      <c r="B58" s="18"/>
      <c r="C58" s="18"/>
      <c r="D58" s="18"/>
      <c r="E58" s="18"/>
      <c r="F58" s="18"/>
      <c r="G58" s="18"/>
      <c r="H58" s="18"/>
      <c r="I58" s="18"/>
      <c r="J58" s="18"/>
    </row>
    <row r="59" spans="1:10" x14ac:dyDescent="0.25">
      <c r="A59" s="18" t="s">
        <v>38</v>
      </c>
      <c r="B59" s="18"/>
      <c r="C59" s="18"/>
      <c r="D59" s="18"/>
      <c r="E59" s="18"/>
      <c r="F59" s="18"/>
      <c r="G59" s="18"/>
      <c r="H59" s="18"/>
      <c r="I59" s="18"/>
      <c r="J59" s="18"/>
    </row>
    <row r="60" spans="1:10" x14ac:dyDescent="0.25">
      <c r="A60" s="18" t="s">
        <v>39</v>
      </c>
      <c r="B60" s="8">
        <f>((B14/B10)-1)*100</f>
        <v>26.192399562664946</v>
      </c>
      <c r="C60" s="8">
        <f t="shared" ref="C60:G60" si="9">((C14/C10)-1)*100</f>
        <v>0.35658831718154982</v>
      </c>
      <c r="D60" s="8">
        <f t="shared" si="9"/>
        <v>6.7041839980425566</v>
      </c>
      <c r="E60" s="8">
        <f t="shared" si="9"/>
        <v>38.641136376535655</v>
      </c>
      <c r="F60" s="8">
        <f t="shared" si="9"/>
        <v>126.91054873465295</v>
      </c>
      <c r="G60" s="8">
        <f t="shared" si="9"/>
        <v>23.934767522553791</v>
      </c>
      <c r="H60" s="8"/>
      <c r="I60" s="8"/>
      <c r="J60" s="18"/>
    </row>
    <row r="61" spans="1:10" x14ac:dyDescent="0.25">
      <c r="A61" s="18" t="s">
        <v>40</v>
      </c>
      <c r="B61" s="8">
        <f>((B36/B35)-1)*100</f>
        <v>19.598593521213047</v>
      </c>
      <c r="C61" s="8">
        <f t="shared" ref="C61:G61" si="10">((C36/C35)-1)*100</f>
        <v>27.406875963690048</v>
      </c>
      <c r="D61" s="8"/>
      <c r="E61" s="8">
        <f t="shared" si="10"/>
        <v>-0.30320201633204924</v>
      </c>
      <c r="F61" s="8"/>
      <c r="G61" s="8">
        <f t="shared" si="10"/>
        <v>29.06462268682699</v>
      </c>
      <c r="H61" s="8"/>
      <c r="I61" s="8"/>
      <c r="J61" s="18"/>
    </row>
    <row r="62" spans="1:10" x14ac:dyDescent="0.25">
      <c r="A62" s="18" t="s">
        <v>41</v>
      </c>
      <c r="B62" s="8">
        <f>((B38/B37)-1)*100</f>
        <v>-5.2252006177103683</v>
      </c>
      <c r="C62" s="8">
        <f t="shared" ref="C62:G62" si="11">((C38/C37)-1)*100</f>
        <v>25.528687985831432</v>
      </c>
      <c r="D62" s="8"/>
      <c r="E62" s="8">
        <f t="shared" si="11"/>
        <v>-37.483195608559406</v>
      </c>
      <c r="F62" s="8"/>
      <c r="G62" s="8">
        <f t="shared" si="11"/>
        <v>4.1391574509869855</v>
      </c>
      <c r="H62" s="8"/>
      <c r="I62" s="8"/>
      <c r="J62" s="18"/>
    </row>
    <row r="63" spans="1:10" x14ac:dyDescent="0.25">
      <c r="A63" s="18"/>
      <c r="B63" s="8"/>
      <c r="C63" s="8"/>
      <c r="D63" s="8"/>
      <c r="E63" s="8"/>
      <c r="F63" s="8"/>
      <c r="G63" s="8"/>
      <c r="H63" s="8"/>
      <c r="I63" s="8"/>
      <c r="J63" s="18"/>
    </row>
    <row r="64" spans="1:10" x14ac:dyDescent="0.25">
      <c r="A64" s="18" t="s">
        <v>42</v>
      </c>
      <c r="B64" s="18"/>
      <c r="C64" s="18"/>
      <c r="D64" s="18"/>
      <c r="E64" s="18"/>
      <c r="F64" s="18"/>
      <c r="G64" s="18"/>
      <c r="H64" s="18"/>
      <c r="I64" s="18"/>
      <c r="J64" s="18"/>
    </row>
    <row r="65" spans="1:10" x14ac:dyDescent="0.25">
      <c r="A65" s="18" t="s">
        <v>116</v>
      </c>
      <c r="B65" s="5">
        <f>B20/(B12*3)</f>
        <v>8427.2332704416131</v>
      </c>
      <c r="C65" s="5">
        <f>C20/((C12+D12)*3)</f>
        <v>8870.512147078136</v>
      </c>
      <c r="D65" s="5"/>
      <c r="E65" s="5">
        <f t="shared" ref="E65:G65" si="12">E20/(E12*3)</f>
        <v>6035.4115221740412</v>
      </c>
      <c r="F65" s="5"/>
      <c r="G65" s="5">
        <f t="shared" si="12"/>
        <v>20113.18</v>
      </c>
      <c r="H65" s="5"/>
      <c r="I65" s="5"/>
      <c r="J65" s="18"/>
    </row>
    <row r="66" spans="1:10" x14ac:dyDescent="0.25">
      <c r="A66" s="18" t="s">
        <v>117</v>
      </c>
      <c r="B66" s="5">
        <f>B21/(B14*3)</f>
        <v>6975.0276836351495</v>
      </c>
      <c r="C66" s="5">
        <f>C21/((C14+D14)*3)</f>
        <v>9476.2125377630437</v>
      </c>
      <c r="D66" s="5"/>
      <c r="E66" s="5">
        <f t="shared" ref="E66:G66" si="13">E21/(E14*3)</f>
        <v>3652.5782381028584</v>
      </c>
      <c r="F66" s="5"/>
      <c r="G66" s="5">
        <f t="shared" si="13"/>
        <v>19510.12486701383</v>
      </c>
      <c r="H66" s="5"/>
      <c r="I66" s="5"/>
      <c r="J66" s="18"/>
    </row>
    <row r="67" spans="1:10" x14ac:dyDescent="0.25">
      <c r="A67" s="18" t="s">
        <v>45</v>
      </c>
      <c r="B67" s="8">
        <f>(B65/B66)*B49</f>
        <v>96.199506915822809</v>
      </c>
      <c r="C67" s="8">
        <f>(C65/C66)*C49</f>
        <v>77.104002612626928</v>
      </c>
      <c r="D67" s="8"/>
      <c r="E67" s="8">
        <f>(E65/E66)*E49</f>
        <v>128.91747534617903</v>
      </c>
      <c r="F67" s="8"/>
      <c r="G67" s="8">
        <f>(G65/G66)*G49</f>
        <v>85.732565363220289</v>
      </c>
      <c r="H67" s="8"/>
      <c r="I67" s="8"/>
      <c r="J67" s="18"/>
    </row>
    <row r="68" spans="1:10" x14ac:dyDescent="0.25">
      <c r="A68" s="18" t="s">
        <v>109</v>
      </c>
      <c r="B68" s="17">
        <f>B20/B12</f>
        <v>25281.699811324837</v>
      </c>
      <c r="C68" s="17">
        <f>C20/(C12+D12)</f>
        <v>26611.536441234406</v>
      </c>
      <c r="D68" s="17"/>
      <c r="E68" s="17">
        <f t="shared" ref="E68:G68" si="14">E20/E12</f>
        <v>18106.234566522122</v>
      </c>
      <c r="F68" s="17"/>
      <c r="G68" s="17">
        <f t="shared" si="14"/>
        <v>60339.54</v>
      </c>
      <c r="H68" s="17"/>
      <c r="I68" s="17"/>
      <c r="J68" s="18"/>
    </row>
    <row r="69" spans="1:10" x14ac:dyDescent="0.25">
      <c r="A69" s="18" t="s">
        <v>108</v>
      </c>
      <c r="B69" s="8">
        <f>B21/B14</f>
        <v>20925.08305090545</v>
      </c>
      <c r="C69" s="8">
        <f>C21/(C14+D14)</f>
        <v>28428.637613289131</v>
      </c>
      <c r="D69" s="8"/>
      <c r="E69" s="8">
        <f t="shared" ref="E69:G69" si="15">E21/E14</f>
        <v>10957.734714308577</v>
      </c>
      <c r="F69" s="8"/>
      <c r="G69" s="8">
        <f t="shared" si="15"/>
        <v>58530.374601041491</v>
      </c>
      <c r="H69" s="8"/>
      <c r="I69" s="8"/>
      <c r="J69" s="18"/>
    </row>
    <row r="70" spans="1:10" x14ac:dyDescent="0.25">
      <c r="A70" s="18"/>
      <c r="B70" s="8"/>
      <c r="C70" s="8"/>
      <c r="D70" s="8"/>
      <c r="E70" s="8"/>
      <c r="F70" s="8"/>
      <c r="G70" s="8"/>
      <c r="H70" s="8"/>
      <c r="I70" s="8"/>
      <c r="J70" s="18"/>
    </row>
    <row r="71" spans="1:10" x14ac:dyDescent="0.25">
      <c r="A71" s="18" t="s">
        <v>46</v>
      </c>
      <c r="B71" s="8"/>
      <c r="C71" s="8"/>
      <c r="D71" s="8"/>
      <c r="E71" s="8"/>
      <c r="F71" s="8"/>
      <c r="G71" s="8"/>
      <c r="H71" s="8"/>
      <c r="I71" s="8"/>
      <c r="J71" s="18"/>
    </row>
    <row r="72" spans="1:10" x14ac:dyDescent="0.25">
      <c r="A72" s="18" t="s">
        <v>47</v>
      </c>
      <c r="B72" s="8">
        <f>(B27/B26)*100</f>
        <v>69.523416446709632</v>
      </c>
      <c r="C72" s="8"/>
      <c r="D72" s="8"/>
      <c r="E72" s="8"/>
      <c r="F72" s="8"/>
      <c r="G72" s="8"/>
      <c r="H72" s="8"/>
      <c r="I72" s="8"/>
      <c r="J72" s="18"/>
    </row>
    <row r="73" spans="1:10" x14ac:dyDescent="0.25">
      <c r="A73" s="18" t="s">
        <v>48</v>
      </c>
      <c r="B73" s="8">
        <f>(B21/B27)*100</f>
        <v>103.72754866368273</v>
      </c>
      <c r="C73" s="8"/>
      <c r="D73" s="8"/>
      <c r="E73" s="8"/>
      <c r="F73" s="8"/>
      <c r="G73" s="8"/>
      <c r="H73" s="8"/>
      <c r="I73" s="8"/>
      <c r="J73" s="18"/>
    </row>
    <row r="74" spans="1:10" ht="15.75" thickBot="1" x14ac:dyDescent="0.3">
      <c r="A74" s="63"/>
      <c r="B74" s="63"/>
      <c r="C74" s="63"/>
      <c r="D74" s="63"/>
      <c r="E74" s="63"/>
      <c r="F74" s="63"/>
      <c r="G74" s="63"/>
      <c r="H74" s="63"/>
      <c r="I74" s="63"/>
      <c r="J74" s="18"/>
    </row>
    <row r="75" spans="1:10" ht="15.75" thickTop="1" x14ac:dyDescent="0.25">
      <c r="A75" s="19" t="s">
        <v>122</v>
      </c>
      <c r="B75" s="18"/>
      <c r="C75" s="18"/>
      <c r="D75" s="18"/>
      <c r="E75" s="18"/>
      <c r="F75" s="18"/>
      <c r="G75" s="18"/>
      <c r="H75" s="18"/>
      <c r="I75" s="18"/>
      <c r="J75" s="18"/>
    </row>
    <row r="76" spans="1:10" x14ac:dyDescent="0.25">
      <c r="A76" s="18" t="s">
        <v>60</v>
      </c>
      <c r="B76" s="18"/>
      <c r="C76" s="18"/>
      <c r="D76" s="18"/>
      <c r="E76" s="18"/>
      <c r="F76" s="18"/>
      <c r="G76" s="18"/>
      <c r="H76" s="18"/>
      <c r="I76" s="18"/>
      <c r="J76" s="18"/>
    </row>
    <row r="77" spans="1:10" x14ac:dyDescent="0.25">
      <c r="A77" t="s">
        <v>61</v>
      </c>
    </row>
    <row r="78" spans="1:10" x14ac:dyDescent="0.25">
      <c r="A78" t="s">
        <v>113</v>
      </c>
      <c r="B78" s="10"/>
      <c r="C78" s="10"/>
      <c r="D78" s="10"/>
      <c r="E78" s="10"/>
      <c r="F78" s="10"/>
    </row>
    <row r="79" spans="1:10" x14ac:dyDescent="0.25">
      <c r="A79" t="s">
        <v>128</v>
      </c>
    </row>
    <row r="80" spans="1:10" x14ac:dyDescent="0.25">
      <c r="A80" t="s">
        <v>123</v>
      </c>
    </row>
    <row r="81" spans="1:1" x14ac:dyDescent="0.25">
      <c r="A81" t="s">
        <v>121</v>
      </c>
    </row>
    <row r="82" spans="1:1" x14ac:dyDescent="0.25">
      <c r="A82" t="s">
        <v>130</v>
      </c>
    </row>
  </sheetData>
  <mergeCells count="16">
    <mergeCell ref="I4:I5"/>
    <mergeCell ref="C23:D23"/>
    <mergeCell ref="E23:F23"/>
    <mergeCell ref="C19:D19"/>
    <mergeCell ref="C20:D20"/>
    <mergeCell ref="C21:D21"/>
    <mergeCell ref="C22:D22"/>
    <mergeCell ref="E19:F19"/>
    <mergeCell ref="E20:F20"/>
    <mergeCell ref="E21:F21"/>
    <mergeCell ref="E22:F22"/>
    <mergeCell ref="A2:G2"/>
    <mergeCell ref="A4:A5"/>
    <mergeCell ref="C5:D5"/>
    <mergeCell ref="E5:F5"/>
    <mergeCell ref="C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topLeftCell="B1" zoomScale="75" zoomScaleNormal="75" workbookViewId="0">
      <selection activeCell="N35" sqref="N35"/>
    </sheetView>
  </sheetViews>
  <sheetFormatPr baseColWidth="10" defaultRowHeight="15" x14ac:dyDescent="0.25"/>
  <cols>
    <col min="1" max="1" width="55.140625" customWidth="1"/>
    <col min="2" max="2" width="19.7109375" bestFit="1" customWidth="1"/>
    <col min="3" max="4" width="16.5703125" customWidth="1"/>
    <col min="5" max="6" width="17.42578125" customWidth="1"/>
    <col min="7" max="7" width="18.5703125" customWidth="1"/>
    <col min="8" max="8" width="12.7109375" bestFit="1" customWidth="1"/>
    <col min="9" max="9" width="15.140625" bestFit="1" customWidth="1"/>
  </cols>
  <sheetData>
    <row r="2" spans="1:10" ht="15.75" x14ac:dyDescent="0.25">
      <c r="A2" s="42" t="s">
        <v>62</v>
      </c>
      <c r="B2" s="42"/>
      <c r="C2" s="42"/>
      <c r="D2" s="42"/>
      <c r="E2" s="42"/>
      <c r="F2" s="42"/>
      <c r="G2" s="42"/>
    </row>
    <row r="4" spans="1:10" x14ac:dyDescent="0.25">
      <c r="A4" s="43" t="s">
        <v>1</v>
      </c>
      <c r="B4" s="13" t="s">
        <v>2</v>
      </c>
      <c r="C4" s="46" t="s">
        <v>3</v>
      </c>
      <c r="D4" s="46"/>
      <c r="E4" s="46"/>
      <c r="F4" s="46"/>
      <c r="G4" s="46"/>
      <c r="H4" s="46"/>
      <c r="I4" s="43" t="s">
        <v>125</v>
      </c>
    </row>
    <row r="5" spans="1:10" ht="15.75" thickBot="1" x14ac:dyDescent="0.3">
      <c r="A5" s="44"/>
      <c r="B5" s="1" t="s">
        <v>4</v>
      </c>
      <c r="C5" s="45" t="s">
        <v>5</v>
      </c>
      <c r="D5" s="45"/>
      <c r="E5" s="45" t="s">
        <v>127</v>
      </c>
      <c r="F5" s="45"/>
      <c r="G5" s="1" t="s">
        <v>6</v>
      </c>
      <c r="H5" s="9" t="s">
        <v>126</v>
      </c>
      <c r="I5" s="44"/>
    </row>
    <row r="6" spans="1:10" ht="15.75" thickTop="1" x14ac:dyDescent="0.25">
      <c r="B6" t="s">
        <v>2</v>
      </c>
      <c r="C6" s="20" t="s">
        <v>118</v>
      </c>
      <c r="D6" s="20" t="s">
        <v>119</v>
      </c>
      <c r="E6" s="20">
        <v>1600</v>
      </c>
      <c r="F6" s="20" t="s">
        <v>120</v>
      </c>
      <c r="G6" s="20" t="s">
        <v>6</v>
      </c>
    </row>
    <row r="7" spans="1:10" x14ac:dyDescent="0.25">
      <c r="A7" s="61" t="s">
        <v>7</v>
      </c>
      <c r="B7" s="18"/>
      <c r="C7" s="18"/>
      <c r="D7" s="18"/>
      <c r="E7" s="18"/>
      <c r="F7" s="18"/>
      <c r="G7" s="18"/>
      <c r="H7" s="18"/>
      <c r="I7" s="18"/>
      <c r="J7" s="18"/>
    </row>
    <row r="8" spans="1:10" x14ac:dyDescent="0.25">
      <c r="A8" s="18"/>
      <c r="B8" s="18"/>
      <c r="C8" s="18"/>
      <c r="D8" s="18"/>
      <c r="E8" s="18"/>
      <c r="F8" s="18"/>
      <c r="G8" s="18"/>
      <c r="H8" s="18"/>
      <c r="I8" s="18"/>
      <c r="J8" s="18"/>
    </row>
    <row r="9" spans="1:10" x14ac:dyDescent="0.25">
      <c r="A9" s="18" t="s">
        <v>8</v>
      </c>
      <c r="B9" s="18"/>
      <c r="C9" s="18"/>
      <c r="D9" s="18"/>
      <c r="E9" s="18"/>
      <c r="F9" s="18"/>
      <c r="G9" s="18"/>
      <c r="H9" s="18"/>
      <c r="I9" s="18"/>
      <c r="J9" s="18"/>
    </row>
    <row r="10" spans="1:10" x14ac:dyDescent="0.25">
      <c r="A10" s="56" t="s">
        <v>63</v>
      </c>
      <c r="B10" s="21">
        <f>C10+E10</f>
        <v>121803.33333333333</v>
      </c>
      <c r="C10" s="21">
        <f>91756/3</f>
        <v>30585.333333333332</v>
      </c>
      <c r="D10" s="21">
        <f>23555/3</f>
        <v>7851.666666666667</v>
      </c>
      <c r="E10" s="21">
        <f>273654/3</f>
        <v>91218</v>
      </c>
      <c r="F10" s="21">
        <f>56068/3</f>
        <v>18689.333333333332</v>
      </c>
      <c r="G10" s="21">
        <f>14727/3</f>
        <v>4909</v>
      </c>
      <c r="H10" s="18"/>
      <c r="I10" s="18"/>
      <c r="J10" s="18"/>
    </row>
    <row r="11" spans="1:10" x14ac:dyDescent="0.25">
      <c r="A11" s="58" t="s">
        <v>107</v>
      </c>
      <c r="B11" s="21">
        <f>C11+E11</f>
        <v>117759</v>
      </c>
      <c r="C11" s="21">
        <f>79623/3</f>
        <v>26541</v>
      </c>
      <c r="D11" s="21">
        <f>23555/3</f>
        <v>7851.666666666667</v>
      </c>
      <c r="E11" s="21">
        <f>273654/3</f>
        <v>91218</v>
      </c>
      <c r="F11" s="21">
        <f>56068/3</f>
        <v>18689.333333333332</v>
      </c>
      <c r="G11" s="21">
        <f>14727/3</f>
        <v>4909</v>
      </c>
      <c r="H11" s="18"/>
      <c r="I11" s="18"/>
      <c r="J11" s="18"/>
    </row>
    <row r="12" spans="1:10" x14ac:dyDescent="0.25">
      <c r="A12" s="56" t="s">
        <v>64</v>
      </c>
      <c r="B12" s="21">
        <f t="shared" ref="B12:B16" si="0">C12+E12</f>
        <v>126836.66666666667</v>
      </c>
      <c r="C12" s="21">
        <f>(123+245+245+13114+26227+26227+1496+2991+2991+1462+2924+2924)/3</f>
        <v>26989.666666666668</v>
      </c>
      <c r="D12" s="21">
        <f>8556</f>
        <v>8556</v>
      </c>
      <c r="E12" s="21">
        <f>(99191+100175*2)/3</f>
        <v>99847</v>
      </c>
      <c r="F12" s="21">
        <f>(13111+26196*2+14231+28818*2)/3</f>
        <v>45790</v>
      </c>
      <c r="G12" s="21">
        <f>21153/3</f>
        <v>7051</v>
      </c>
      <c r="H12" s="18"/>
      <c r="I12" s="18"/>
      <c r="J12" s="18"/>
    </row>
    <row r="13" spans="1:10" x14ac:dyDescent="0.25">
      <c r="A13" s="58" t="s">
        <v>107</v>
      </c>
      <c r="B13" s="21">
        <f t="shared" si="0"/>
        <v>121703</v>
      </c>
      <c r="C13" s="21">
        <f>(13114+26227+26227)/3</f>
        <v>21856</v>
      </c>
      <c r="D13" s="21">
        <f>8556</f>
        <v>8556</v>
      </c>
      <c r="E13" s="21">
        <f>(99191+100175*2)/3</f>
        <v>99847</v>
      </c>
      <c r="F13" s="21">
        <f>(13111+26196*2+14231+28818*2)/3</f>
        <v>45790</v>
      </c>
      <c r="G13" s="21">
        <f>21153/3</f>
        <v>7051</v>
      </c>
      <c r="H13" s="18"/>
      <c r="I13" s="18"/>
      <c r="J13" s="18"/>
    </row>
    <row r="14" spans="1:10" x14ac:dyDescent="0.25">
      <c r="A14" s="56" t="s">
        <v>65</v>
      </c>
      <c r="B14" s="21">
        <f t="shared" si="0"/>
        <v>119781</v>
      </c>
      <c r="C14" s="21">
        <v>26975.333333333332</v>
      </c>
      <c r="D14" s="21">
        <v>6907</v>
      </c>
      <c r="E14" s="21">
        <f>278417/3</f>
        <v>92805.666666666672</v>
      </c>
      <c r="F14" s="21">
        <v>41503</v>
      </c>
      <c r="G14" s="21">
        <f>20992/3</f>
        <v>6997.333333333333</v>
      </c>
      <c r="H14" s="21">
        <v>20023</v>
      </c>
      <c r="I14" s="18"/>
      <c r="J14" s="18"/>
    </row>
    <row r="15" spans="1:10" x14ac:dyDescent="0.25">
      <c r="A15" s="58" t="s">
        <v>107</v>
      </c>
      <c r="B15" s="21">
        <f t="shared" si="0"/>
        <v>99881</v>
      </c>
      <c r="C15" s="21">
        <f>65525/3</f>
        <v>21841.666666666668</v>
      </c>
      <c r="D15" s="21">
        <v>6907</v>
      </c>
      <c r="E15" s="21">
        <v>78039.333333333328</v>
      </c>
      <c r="F15" s="21">
        <v>41503</v>
      </c>
      <c r="G15" s="21">
        <f>20992/3</f>
        <v>6997.333333333333</v>
      </c>
      <c r="H15" s="18"/>
      <c r="I15" s="18"/>
      <c r="J15" s="18"/>
    </row>
    <row r="16" spans="1:10" x14ac:dyDescent="0.25">
      <c r="A16" s="56" t="s">
        <v>12</v>
      </c>
      <c r="B16" s="21">
        <f t="shared" si="0"/>
        <v>124476.33333333333</v>
      </c>
      <c r="C16" s="5">
        <f>352060/12</f>
        <v>29338.333333333332</v>
      </c>
      <c r="D16" s="5">
        <f>8556</f>
        <v>8556</v>
      </c>
      <c r="E16" s="5">
        <f>1141656/12</f>
        <v>95138</v>
      </c>
      <c r="F16" s="21">
        <f>(277456+306146)/12</f>
        <v>48633.5</v>
      </c>
      <c r="G16" s="5">
        <f>84612/12</f>
        <v>7051</v>
      </c>
      <c r="H16" s="18"/>
      <c r="I16" s="18"/>
      <c r="J16" s="18"/>
    </row>
    <row r="17" spans="1:10" x14ac:dyDescent="0.25">
      <c r="A17" s="18"/>
      <c r="B17" s="23"/>
      <c r="C17" s="23"/>
      <c r="D17" s="23"/>
      <c r="E17" s="23"/>
      <c r="F17" s="23"/>
      <c r="G17" s="23"/>
      <c r="H17" s="18"/>
      <c r="I17" s="18"/>
      <c r="J17" s="18"/>
    </row>
    <row r="18" spans="1:10" x14ac:dyDescent="0.25">
      <c r="A18" s="59" t="s">
        <v>13</v>
      </c>
      <c r="B18" s="23"/>
      <c r="C18" s="23"/>
      <c r="D18" s="23"/>
      <c r="E18" s="23"/>
      <c r="F18" s="23"/>
      <c r="G18" s="23"/>
      <c r="H18" s="18"/>
      <c r="I18" s="18"/>
      <c r="J18" s="18"/>
    </row>
    <row r="19" spans="1:10" x14ac:dyDescent="0.25">
      <c r="A19" s="56" t="s">
        <v>63</v>
      </c>
      <c r="B19" s="23">
        <f>SUM(C19:G19)</f>
        <v>2373074929.6100001</v>
      </c>
      <c r="C19" s="48">
        <v>767378215</v>
      </c>
      <c r="D19" s="48"/>
      <c r="E19" s="48">
        <v>1343019610</v>
      </c>
      <c r="F19" s="48"/>
      <c r="G19" s="21">
        <v>262677104.61000001</v>
      </c>
      <c r="H19" s="18"/>
      <c r="I19" s="18"/>
      <c r="J19" s="18"/>
    </row>
    <row r="20" spans="1:10" x14ac:dyDescent="0.25">
      <c r="A20" s="56" t="s">
        <v>64</v>
      </c>
      <c r="B20" s="23">
        <f>SUM(C20:G20)</f>
        <v>3255392088.54</v>
      </c>
      <c r="C20" s="48">
        <f>1088500880+16170840</f>
        <v>1104671720</v>
      </c>
      <c r="D20" s="48"/>
      <c r="E20" s="48">
        <v>1725266272</v>
      </c>
      <c r="F20" s="48"/>
      <c r="G20" s="21">
        <f>141818032.18*3</f>
        <v>425454096.54000002</v>
      </c>
      <c r="H20" s="5"/>
      <c r="I20" s="18"/>
      <c r="J20" s="22"/>
    </row>
    <row r="21" spans="1:10" x14ac:dyDescent="0.25">
      <c r="A21" s="56" t="s">
        <v>65</v>
      </c>
      <c r="B21" s="23">
        <f>SUM(C21:I21)</f>
        <v>2226736867.0700002</v>
      </c>
      <c r="C21" s="48">
        <v>622485850</v>
      </c>
      <c r="D21" s="48"/>
      <c r="E21" s="48">
        <v>1241302300</v>
      </c>
      <c r="F21" s="48"/>
      <c r="G21" s="21">
        <v>283615950</v>
      </c>
      <c r="H21" s="5">
        <v>0</v>
      </c>
      <c r="I21" s="23">
        <v>79332767.069999993</v>
      </c>
      <c r="J21" s="18"/>
    </row>
    <row r="22" spans="1:10" x14ac:dyDescent="0.25">
      <c r="A22" s="56" t="s">
        <v>12</v>
      </c>
      <c r="B22" s="23">
        <f>SUM(C22:G22)</f>
        <v>13269992710.619999</v>
      </c>
      <c r="C22" s="48">
        <f>4742721720+64683360</f>
        <v>4807405080</v>
      </c>
      <c r="D22" s="48"/>
      <c r="E22" s="48">
        <v>6776922128</v>
      </c>
      <c r="F22" s="48"/>
      <c r="G22" s="21">
        <v>1685665502.6199999</v>
      </c>
      <c r="H22" s="18"/>
      <c r="I22" s="18"/>
      <c r="J22" s="22"/>
    </row>
    <row r="23" spans="1:10" x14ac:dyDescent="0.25">
      <c r="A23" s="56" t="s">
        <v>66</v>
      </c>
      <c r="B23" s="5">
        <f>SUM(C23:I23)</f>
        <v>1524918250</v>
      </c>
      <c r="C23" s="48">
        <v>0</v>
      </c>
      <c r="D23" s="48"/>
      <c r="E23" s="48">
        <f>E21</f>
        <v>1241302300</v>
      </c>
      <c r="F23" s="48"/>
      <c r="G23" s="21">
        <f>G21</f>
        <v>283615950</v>
      </c>
      <c r="H23" s="18">
        <v>0</v>
      </c>
      <c r="I23" s="18">
        <v>0</v>
      </c>
      <c r="J23" s="18"/>
    </row>
    <row r="24" spans="1:10" x14ac:dyDescent="0.25">
      <c r="A24" s="18"/>
      <c r="B24" s="23"/>
      <c r="C24" s="23"/>
      <c r="D24" s="23"/>
      <c r="E24" s="23"/>
      <c r="F24" s="23"/>
      <c r="G24" s="23"/>
      <c r="H24" s="18"/>
      <c r="I24" s="18"/>
      <c r="J24" s="18"/>
    </row>
    <row r="25" spans="1:10" x14ac:dyDescent="0.25">
      <c r="A25" s="59" t="s">
        <v>15</v>
      </c>
      <c r="B25" s="23"/>
      <c r="C25" s="23"/>
      <c r="D25" s="23"/>
      <c r="E25" s="23"/>
      <c r="F25" s="23"/>
      <c r="G25" s="23"/>
      <c r="H25" s="23"/>
      <c r="I25" s="23"/>
      <c r="J25" s="18"/>
    </row>
    <row r="26" spans="1:10" x14ac:dyDescent="0.25">
      <c r="A26" s="56" t="s">
        <v>64</v>
      </c>
      <c r="B26" s="23">
        <f>B20</f>
        <v>3255392088.54</v>
      </c>
      <c r="C26" s="23"/>
      <c r="D26" s="23"/>
      <c r="E26" s="23"/>
      <c r="F26" s="23"/>
      <c r="G26" s="23"/>
      <c r="H26" s="23"/>
      <c r="I26" s="23"/>
      <c r="J26" s="18"/>
    </row>
    <row r="27" spans="1:10" x14ac:dyDescent="0.25">
      <c r="A27" s="56" t="s">
        <v>65</v>
      </c>
      <c r="B27" s="23">
        <v>2208428076</v>
      </c>
      <c r="C27" s="23"/>
      <c r="D27" s="23"/>
      <c r="E27" s="23"/>
      <c r="F27" s="23"/>
      <c r="G27" s="23"/>
      <c r="H27" s="23"/>
      <c r="I27" s="23"/>
      <c r="J27" s="18"/>
    </row>
    <row r="28" spans="1:10" x14ac:dyDescent="0.25">
      <c r="A28" s="18"/>
      <c r="B28" s="18"/>
      <c r="C28" s="18"/>
      <c r="D28" s="18"/>
      <c r="E28" s="18"/>
      <c r="F28" s="18"/>
      <c r="G28" s="18"/>
      <c r="H28" s="18"/>
      <c r="I28" s="18"/>
      <c r="J28" s="18"/>
    </row>
    <row r="29" spans="1:10" x14ac:dyDescent="0.25">
      <c r="A29" s="18" t="s">
        <v>16</v>
      </c>
      <c r="B29" s="18"/>
      <c r="C29" s="18"/>
      <c r="D29" s="18"/>
      <c r="E29" s="18"/>
      <c r="F29" s="18"/>
      <c r="G29" s="18"/>
      <c r="H29" s="18"/>
      <c r="I29" s="18"/>
      <c r="J29" s="18"/>
    </row>
    <row r="30" spans="1:10" x14ac:dyDescent="0.25">
      <c r="A30" s="56" t="s">
        <v>67</v>
      </c>
      <c r="B30" s="60">
        <v>1.4042433660666667</v>
      </c>
      <c r="C30" s="60">
        <v>1.4042433660666667</v>
      </c>
      <c r="D30" s="60">
        <v>1.4042433660666667</v>
      </c>
      <c r="E30" s="60">
        <v>1.4042433660666667</v>
      </c>
      <c r="F30" s="60">
        <v>1.4042433660666667</v>
      </c>
      <c r="G30" s="60">
        <v>1.4042433660666667</v>
      </c>
      <c r="H30" s="60"/>
      <c r="I30" s="60"/>
      <c r="J30" s="18"/>
    </row>
    <row r="31" spans="1:10" x14ac:dyDescent="0.25">
      <c r="A31" s="56" t="s">
        <v>68</v>
      </c>
      <c r="B31" s="60">
        <v>1.4773597119666666</v>
      </c>
      <c r="C31" s="60">
        <v>1.4773597119666666</v>
      </c>
      <c r="D31" s="60">
        <v>1.4773597119666666</v>
      </c>
      <c r="E31" s="60">
        <v>1.4773597119666666</v>
      </c>
      <c r="F31" s="60">
        <v>1.4773597119666666</v>
      </c>
      <c r="G31" s="60">
        <v>1.4773597119666666</v>
      </c>
      <c r="H31" s="60"/>
      <c r="I31" s="60"/>
      <c r="J31" s="18"/>
    </row>
    <row r="32" spans="1:10" x14ac:dyDescent="0.25">
      <c r="A32" s="56" t="s">
        <v>19</v>
      </c>
      <c r="B32" s="5">
        <v>73492</v>
      </c>
      <c r="C32" s="5">
        <v>73492</v>
      </c>
      <c r="D32" s="5">
        <v>73492</v>
      </c>
      <c r="E32" s="5">
        <v>73492</v>
      </c>
      <c r="F32" s="5">
        <v>73492</v>
      </c>
      <c r="G32" s="5">
        <v>73492</v>
      </c>
      <c r="H32" s="5"/>
      <c r="I32" s="5"/>
      <c r="J32" s="18"/>
    </row>
    <row r="33" spans="1:10" x14ac:dyDescent="0.25">
      <c r="A33" s="18"/>
      <c r="B33" s="18"/>
      <c r="C33" s="18"/>
      <c r="D33" s="18"/>
      <c r="E33" s="18"/>
      <c r="F33" s="18"/>
      <c r="G33" s="18"/>
      <c r="H33" s="18"/>
      <c r="I33" s="18"/>
      <c r="J33" s="18"/>
    </row>
    <row r="34" spans="1:10" x14ac:dyDescent="0.25">
      <c r="A34" s="61" t="s">
        <v>20</v>
      </c>
      <c r="B34" s="18"/>
      <c r="C34" s="18"/>
      <c r="D34" s="18"/>
      <c r="E34" s="18"/>
      <c r="F34" s="18"/>
      <c r="G34" s="18"/>
      <c r="H34" s="18"/>
      <c r="I34" s="18"/>
      <c r="J34" s="18"/>
    </row>
    <row r="35" spans="1:10" x14ac:dyDescent="0.25">
      <c r="A35" s="18" t="s">
        <v>69</v>
      </c>
      <c r="B35" s="5">
        <f>B19/B30</f>
        <v>1689931380.0976419</v>
      </c>
      <c r="C35" s="5">
        <f t="shared" ref="C35:G35" si="1">C19/C30</f>
        <v>546470956.20572698</v>
      </c>
      <c r="D35" s="5"/>
      <c r="E35" s="5">
        <f t="shared" si="1"/>
        <v>956400893.50170374</v>
      </c>
      <c r="F35" s="5"/>
      <c r="G35" s="5">
        <f t="shared" si="1"/>
        <v>187059530.39021114</v>
      </c>
      <c r="H35" s="5"/>
      <c r="I35" s="5"/>
      <c r="J35" s="18"/>
    </row>
    <row r="36" spans="1:10" x14ac:dyDescent="0.25">
      <c r="A36" s="18" t="s">
        <v>70</v>
      </c>
      <c r="B36" s="5">
        <f>B21/B31</f>
        <v>1507240822.2813656</v>
      </c>
      <c r="C36" s="5">
        <f t="shared" ref="C36:G36" si="2">C21/C31</f>
        <v>421350227.00148267</v>
      </c>
      <c r="D36" s="5"/>
      <c r="E36" s="5">
        <f t="shared" si="2"/>
        <v>840216698.71285033</v>
      </c>
      <c r="F36" s="5"/>
      <c r="G36" s="5">
        <f t="shared" si="2"/>
        <v>191974877.68395242</v>
      </c>
      <c r="H36" s="5"/>
      <c r="I36" s="5"/>
      <c r="J36" s="18"/>
    </row>
    <row r="37" spans="1:10" x14ac:dyDescent="0.25">
      <c r="A37" s="18" t="s">
        <v>71</v>
      </c>
      <c r="B37" s="5">
        <f>B35/B10</f>
        <v>13874.262172061317</v>
      </c>
      <c r="C37" s="5">
        <f>C35/(C10+D10)</f>
        <v>14217.315508643416</v>
      </c>
      <c r="D37" s="5"/>
      <c r="E37" s="5">
        <f>E35/(E10+F10)</f>
        <v>8701.8842555398533</v>
      </c>
      <c r="F37" s="5"/>
      <c r="G37" s="5">
        <f>G35/G10</f>
        <v>38105.424809576522</v>
      </c>
      <c r="H37" s="5"/>
      <c r="I37" s="5"/>
      <c r="J37" s="18"/>
    </row>
    <row r="38" spans="1:10" x14ac:dyDescent="0.25">
      <c r="A38" s="18" t="s">
        <v>72</v>
      </c>
      <c r="B38" s="5">
        <f>B36/B14</f>
        <v>12583.304716786182</v>
      </c>
      <c r="C38" s="5">
        <f>C36/(C14+D14)</f>
        <v>12435.690979610301</v>
      </c>
      <c r="D38" s="5"/>
      <c r="E38" s="5">
        <f>E36/(E14+F14)</f>
        <v>6255.8635981260841</v>
      </c>
      <c r="F38" s="5"/>
      <c r="G38" s="62">
        <f>G36/G14</f>
        <v>27435.434120229482</v>
      </c>
      <c r="H38" s="62"/>
      <c r="I38" s="62"/>
      <c r="J38" s="18"/>
    </row>
    <row r="39" spans="1:10" x14ac:dyDescent="0.25">
      <c r="A39" s="18"/>
      <c r="B39" s="18"/>
      <c r="C39" s="18"/>
      <c r="D39" s="18"/>
      <c r="E39" s="18"/>
      <c r="F39" s="18"/>
      <c r="G39" s="18"/>
      <c r="H39" s="18"/>
      <c r="I39" s="18"/>
      <c r="J39" s="18"/>
    </row>
    <row r="40" spans="1:10" x14ac:dyDescent="0.25">
      <c r="A40" s="61" t="s">
        <v>25</v>
      </c>
      <c r="B40" s="18"/>
      <c r="C40" s="18"/>
      <c r="D40" s="18"/>
      <c r="E40" s="18"/>
      <c r="F40" s="18"/>
      <c r="G40" s="18"/>
      <c r="H40" s="18"/>
      <c r="I40" s="18"/>
      <c r="J40" s="18"/>
    </row>
    <row r="41" spans="1:10" x14ac:dyDescent="0.25">
      <c r="A41" s="18"/>
      <c r="B41" s="18"/>
      <c r="C41" s="18"/>
      <c r="D41" s="18"/>
      <c r="E41" s="18"/>
      <c r="F41" s="18"/>
      <c r="G41" s="18"/>
      <c r="H41" s="18"/>
      <c r="I41" s="18"/>
      <c r="J41" s="18"/>
    </row>
    <row r="42" spans="1:10" x14ac:dyDescent="0.25">
      <c r="A42" s="18" t="s">
        <v>26</v>
      </c>
      <c r="B42" s="18"/>
      <c r="C42" s="18"/>
      <c r="D42" s="18"/>
      <c r="E42" s="18"/>
      <c r="F42" s="18"/>
      <c r="G42" s="18"/>
      <c r="H42" s="18"/>
      <c r="I42" s="18"/>
      <c r="J42" s="18"/>
    </row>
    <row r="43" spans="1:10" x14ac:dyDescent="0.25">
      <c r="A43" s="18" t="s">
        <v>27</v>
      </c>
      <c r="B43" s="8">
        <f>(B13/B32)*100</f>
        <v>165.60033745169542</v>
      </c>
      <c r="C43" s="8">
        <f t="shared" ref="C43:G43" si="3">(C13/C32)*100</f>
        <v>29.739291351439611</v>
      </c>
      <c r="D43" s="8">
        <f t="shared" si="3"/>
        <v>11.64208349208077</v>
      </c>
      <c r="E43" s="8">
        <f t="shared" si="3"/>
        <v>135.86104610025581</v>
      </c>
      <c r="F43" s="8">
        <f t="shared" si="3"/>
        <v>62.306101344364016</v>
      </c>
      <c r="G43" s="8">
        <f t="shared" si="3"/>
        <v>9.5942415501006906</v>
      </c>
      <c r="H43" s="8"/>
      <c r="I43" s="8"/>
      <c r="J43" s="18"/>
    </row>
    <row r="44" spans="1:10" x14ac:dyDescent="0.25">
      <c r="A44" s="18" t="s">
        <v>28</v>
      </c>
      <c r="B44" s="8">
        <f>(B15/B32)*100</f>
        <v>135.90730963914439</v>
      </c>
      <c r="C44" s="8">
        <f t="shared" ref="C44:G44" si="4">(C15/C32)*100</f>
        <v>29.719788094849324</v>
      </c>
      <c r="D44" s="8">
        <f t="shared" si="4"/>
        <v>9.3983018559843234</v>
      </c>
      <c r="E44" s="8">
        <f t="shared" si="4"/>
        <v>106.18752154429507</v>
      </c>
      <c r="F44" s="8">
        <f t="shared" si="4"/>
        <v>56.472813367441354</v>
      </c>
      <c r="G44" s="8">
        <f t="shared" si="4"/>
        <v>9.521217728913804</v>
      </c>
      <c r="H44" s="8"/>
      <c r="I44" s="8"/>
      <c r="J44" s="18"/>
    </row>
    <row r="45" spans="1:10" x14ac:dyDescent="0.25">
      <c r="A45" s="18"/>
      <c r="B45" s="18"/>
      <c r="C45" s="18"/>
      <c r="D45" s="18"/>
      <c r="E45" s="18"/>
      <c r="F45" s="18"/>
      <c r="G45" s="18"/>
      <c r="H45" s="18"/>
      <c r="I45" s="18"/>
      <c r="J45" s="18"/>
    </row>
    <row r="46" spans="1:10" x14ac:dyDescent="0.25">
      <c r="A46" s="18" t="s">
        <v>29</v>
      </c>
      <c r="B46" s="18"/>
      <c r="C46" s="18"/>
      <c r="D46" s="18"/>
      <c r="E46" s="18"/>
      <c r="F46" s="18"/>
      <c r="G46" s="18"/>
      <c r="H46" s="18"/>
      <c r="I46" s="18"/>
      <c r="J46" s="18"/>
    </row>
    <row r="47" spans="1:10" x14ac:dyDescent="0.25">
      <c r="A47" s="18" t="s">
        <v>30</v>
      </c>
      <c r="B47" s="8">
        <f>B14/B12*100</f>
        <v>94.437202701637261</v>
      </c>
      <c r="C47" s="8">
        <f t="shared" ref="C47:G47" si="5">C14/C12*100</f>
        <v>99.946893255443442</v>
      </c>
      <c r="D47" s="8">
        <f t="shared" si="5"/>
        <v>80.726975222066386</v>
      </c>
      <c r="E47" s="8">
        <f t="shared" si="5"/>
        <v>92.947876918351753</v>
      </c>
      <c r="F47" s="8">
        <f t="shared" si="5"/>
        <v>90.637693819611258</v>
      </c>
      <c r="G47" s="8">
        <f t="shared" si="5"/>
        <v>99.238878646054928</v>
      </c>
      <c r="H47" s="8"/>
      <c r="I47" s="8"/>
      <c r="J47" s="18"/>
    </row>
    <row r="48" spans="1:10" x14ac:dyDescent="0.25">
      <c r="A48" s="18" t="s">
        <v>31</v>
      </c>
      <c r="B48" s="8">
        <f>B21/B20*100</f>
        <v>68.401495319375243</v>
      </c>
      <c r="C48" s="8">
        <f>C21/C20*100</f>
        <v>56.350301970254115</v>
      </c>
      <c r="D48" s="8"/>
      <c r="E48" s="8">
        <f>E21/E20*100</f>
        <v>71.94844761910467</v>
      </c>
      <c r="F48" s="8"/>
      <c r="G48" s="8">
        <f>G21/G20*100</f>
        <v>66.661938927490198</v>
      </c>
      <c r="H48" s="8"/>
      <c r="I48" s="8"/>
      <c r="J48" s="18"/>
    </row>
    <row r="49" spans="1:10" x14ac:dyDescent="0.25">
      <c r="A49" s="18" t="s">
        <v>32</v>
      </c>
      <c r="B49" s="8">
        <f>AVERAGE(B47:B48)</f>
        <v>81.419349010506252</v>
      </c>
      <c r="C49" s="8">
        <f>(C47+D47+C48)/3</f>
        <v>79.008056815921307</v>
      </c>
      <c r="D49" s="8"/>
      <c r="E49" s="8">
        <f>(E47+F47+E48)/3</f>
        <v>85.178006119022555</v>
      </c>
      <c r="F49" s="8"/>
      <c r="G49" s="8">
        <f t="shared" ref="G49" si="6">AVERAGE(G47:G48)</f>
        <v>82.950408786772556</v>
      </c>
      <c r="H49" s="8"/>
      <c r="I49" s="8"/>
      <c r="J49" s="18"/>
    </row>
    <row r="50" spans="1:10" x14ac:dyDescent="0.25">
      <c r="A50" s="18"/>
      <c r="B50" s="8"/>
      <c r="C50" s="8"/>
      <c r="D50" s="8"/>
      <c r="E50" s="8"/>
      <c r="F50" s="8"/>
      <c r="G50" s="8"/>
      <c r="H50" s="8"/>
      <c r="I50" s="8"/>
      <c r="J50" s="18"/>
    </row>
    <row r="51" spans="1:10" x14ac:dyDescent="0.25">
      <c r="A51" s="18" t="s">
        <v>33</v>
      </c>
      <c r="B51" s="18"/>
      <c r="C51" s="18"/>
      <c r="D51" s="18"/>
      <c r="E51" s="18"/>
      <c r="F51" s="18"/>
      <c r="G51" s="18"/>
      <c r="H51" s="18"/>
      <c r="I51" s="18"/>
      <c r="J51" s="18"/>
    </row>
    <row r="52" spans="1:10" x14ac:dyDescent="0.25">
      <c r="A52" s="18" t="s">
        <v>34</v>
      </c>
      <c r="B52" s="8">
        <f>((B14/(B16))*100)</f>
        <v>96.22793087842669</v>
      </c>
      <c r="C52" s="8">
        <f t="shared" ref="C52:G52" si="7">((C14/(C16))*100)</f>
        <v>91.945691075384872</v>
      </c>
      <c r="D52" s="8">
        <f t="shared" si="7"/>
        <v>80.726975222066386</v>
      </c>
      <c r="E52" s="8">
        <f t="shared" si="7"/>
        <v>97.548473445591327</v>
      </c>
      <c r="F52" s="8">
        <f t="shared" si="7"/>
        <v>85.338295619274788</v>
      </c>
      <c r="G52" s="8">
        <f t="shared" si="7"/>
        <v>99.238878646054928</v>
      </c>
      <c r="H52" s="8"/>
      <c r="I52" s="8"/>
      <c r="J52" s="18"/>
    </row>
    <row r="53" spans="1:10" x14ac:dyDescent="0.25">
      <c r="A53" s="18" t="s">
        <v>35</v>
      </c>
      <c r="B53" s="8">
        <f>B21/B22*100</f>
        <v>16.780241825513126</v>
      </c>
      <c r="C53" s="8">
        <f>C21/C22*100</f>
        <v>12.948479265658221</v>
      </c>
      <c r="D53" s="8"/>
      <c r="E53" s="8">
        <f>E21/E22*100</f>
        <v>18.31660858063205</v>
      </c>
      <c r="F53" s="8"/>
      <c r="G53" s="8">
        <f>G21/G22*100</f>
        <v>16.82516190544214</v>
      </c>
      <c r="H53" s="8"/>
      <c r="I53" s="8"/>
      <c r="J53" s="18"/>
    </row>
    <row r="54" spans="1:10" x14ac:dyDescent="0.25">
      <c r="A54" s="18" t="s">
        <v>36</v>
      </c>
      <c r="B54" s="8">
        <f>(B52+B53)/2</f>
        <v>56.50408635196991</v>
      </c>
      <c r="C54" s="8">
        <f>(C52+D52+C53)/3</f>
        <v>61.873715187703162</v>
      </c>
      <c r="D54" s="8"/>
      <c r="E54" s="8">
        <f>(E52+F52+E53)/3</f>
        <v>67.067792548499384</v>
      </c>
      <c r="F54" s="8"/>
      <c r="G54" s="8">
        <f t="shared" ref="G54" si="8">(G52+G53)/2</f>
        <v>58.032020275748536</v>
      </c>
      <c r="H54" s="8"/>
      <c r="I54" s="8"/>
      <c r="J54" s="18"/>
    </row>
    <row r="55" spans="1:10" x14ac:dyDescent="0.25">
      <c r="A55" s="18"/>
      <c r="B55" s="8"/>
      <c r="C55" s="8"/>
      <c r="D55" s="8"/>
      <c r="E55" s="8"/>
      <c r="F55" s="8"/>
      <c r="G55" s="8"/>
      <c r="H55" s="8"/>
      <c r="I55" s="8"/>
      <c r="J55" s="18"/>
    </row>
    <row r="56" spans="1:10" x14ac:dyDescent="0.25">
      <c r="A56" s="18" t="s">
        <v>110</v>
      </c>
      <c r="B56" s="18"/>
      <c r="C56" s="18"/>
      <c r="D56" s="18"/>
      <c r="E56" s="18"/>
      <c r="F56" s="18"/>
      <c r="G56" s="18"/>
      <c r="H56" s="18"/>
      <c r="I56" s="18"/>
      <c r="J56" s="18"/>
    </row>
    <row r="57" spans="1:10" x14ac:dyDescent="0.25">
      <c r="A57" s="18" t="s">
        <v>37</v>
      </c>
      <c r="B57" s="8" t="s">
        <v>138</v>
      </c>
      <c r="C57" s="8" t="s">
        <v>138</v>
      </c>
      <c r="D57" s="8" t="s">
        <v>138</v>
      </c>
      <c r="E57" s="8" t="s">
        <v>138</v>
      </c>
      <c r="F57" s="8" t="s">
        <v>138</v>
      </c>
      <c r="G57" s="8" t="s">
        <v>138</v>
      </c>
      <c r="H57" s="8"/>
      <c r="I57" s="8"/>
      <c r="J57" s="18"/>
    </row>
    <row r="58" spans="1:10" x14ac:dyDescent="0.25">
      <c r="A58" s="18"/>
      <c r="B58" s="18"/>
      <c r="C58" s="18"/>
      <c r="D58" s="18"/>
      <c r="E58" s="18"/>
      <c r="F58" s="18"/>
      <c r="G58" s="18"/>
      <c r="H58" s="18"/>
      <c r="I58" s="18"/>
      <c r="J58" s="18"/>
    </row>
    <row r="59" spans="1:10" x14ac:dyDescent="0.25">
      <c r="A59" s="18" t="s">
        <v>38</v>
      </c>
      <c r="B59" s="18"/>
      <c r="C59" s="18"/>
      <c r="D59" s="18"/>
      <c r="E59" s="18"/>
      <c r="F59" s="18"/>
      <c r="G59" s="18"/>
      <c r="H59" s="18"/>
      <c r="I59" s="18"/>
      <c r="J59" s="18"/>
    </row>
    <row r="60" spans="1:10" x14ac:dyDescent="0.25">
      <c r="A60" s="18" t="s">
        <v>39</v>
      </c>
      <c r="B60" s="8">
        <f>((B14/B10)-1)*100</f>
        <v>-1.6603267562463997</v>
      </c>
      <c r="C60" s="8">
        <f t="shared" ref="C60:G60" si="9">((C14/C10)-1)*100</f>
        <v>-11.803042852783474</v>
      </c>
      <c r="D60" s="8">
        <f t="shared" si="9"/>
        <v>-12.031415835279136</v>
      </c>
      <c r="E60" s="8">
        <f t="shared" si="9"/>
        <v>1.7405190496027956</v>
      </c>
      <c r="F60" s="8">
        <f t="shared" si="9"/>
        <v>122.0678461867732</v>
      </c>
      <c r="G60" s="8">
        <f t="shared" si="9"/>
        <v>42.540911251442928</v>
      </c>
      <c r="H60" s="8"/>
      <c r="I60" s="8"/>
      <c r="J60" s="18"/>
    </row>
    <row r="61" spans="1:10" x14ac:dyDescent="0.25">
      <c r="A61" s="18" t="s">
        <v>40</v>
      </c>
      <c r="B61" s="8">
        <f>((B36/B35)-1)*100</f>
        <v>-10.810531123797507</v>
      </c>
      <c r="C61" s="8">
        <f t="shared" ref="C61:G61" si="10">((C36/C35)-1)*100</f>
        <v>-22.896135244402771</v>
      </c>
      <c r="D61" s="8"/>
      <c r="E61" s="8">
        <f t="shared" si="10"/>
        <v>-12.148064224769195</v>
      </c>
      <c r="F61" s="8"/>
      <c r="G61" s="8">
        <f t="shared" si="10"/>
        <v>2.6276914538851504</v>
      </c>
      <c r="H61" s="8"/>
      <c r="I61" s="8"/>
      <c r="J61" s="18"/>
    </row>
    <row r="62" spans="1:10" x14ac:dyDescent="0.25">
      <c r="A62" s="18" t="s">
        <v>41</v>
      </c>
      <c r="B62" s="8">
        <f>((B38/B37)-1)*100</f>
        <v>-9.3046926695297909</v>
      </c>
      <c r="C62" s="8">
        <f t="shared" ref="C62:G62" si="11">((C38/C37)-1)*100</f>
        <v>-12.531370834036682</v>
      </c>
      <c r="D62" s="8"/>
      <c r="E62" s="8">
        <f t="shared" si="11"/>
        <v>-28.109092072289599</v>
      </c>
      <c r="F62" s="8"/>
      <c r="G62" s="8">
        <f t="shared" si="11"/>
        <v>-28.00123799345624</v>
      </c>
      <c r="H62" s="8"/>
      <c r="I62" s="8"/>
      <c r="J62" s="18"/>
    </row>
    <row r="63" spans="1:10" x14ac:dyDescent="0.25">
      <c r="A63" s="18"/>
      <c r="B63" s="8"/>
      <c r="C63" s="8"/>
      <c r="D63" s="8"/>
      <c r="E63" s="8"/>
      <c r="F63" s="8"/>
      <c r="G63" s="8"/>
      <c r="H63" s="8"/>
      <c r="I63" s="8"/>
      <c r="J63" s="18"/>
    </row>
    <row r="64" spans="1:10" x14ac:dyDescent="0.25">
      <c r="A64" s="18" t="s">
        <v>42</v>
      </c>
      <c r="B64" s="18"/>
      <c r="C64" s="18"/>
      <c r="D64" s="18"/>
      <c r="E64" s="18"/>
      <c r="F64" s="18"/>
      <c r="G64" s="18"/>
      <c r="H64" s="18"/>
      <c r="I64" s="18"/>
      <c r="J64" s="18"/>
    </row>
    <row r="65" spans="1:10" x14ac:dyDescent="0.25">
      <c r="A65" s="18" t="s">
        <v>116</v>
      </c>
      <c r="B65" s="5">
        <f>B20/(B12*3)</f>
        <v>8555.3391199705657</v>
      </c>
      <c r="C65" s="5">
        <f>C20/((C12+D12)*3)</f>
        <v>10359.178521526299</v>
      </c>
      <c r="D65" s="5"/>
      <c r="E65" s="5">
        <f t="shared" ref="E65:G65" si="12">E20/(E12*3)</f>
        <v>5759.6999142020622</v>
      </c>
      <c r="F65" s="5"/>
      <c r="G65" s="5">
        <f t="shared" si="12"/>
        <v>20113.18</v>
      </c>
      <c r="H65" s="5"/>
      <c r="I65" s="5"/>
      <c r="J65" s="18"/>
    </row>
    <row r="66" spans="1:10" x14ac:dyDescent="0.25">
      <c r="A66" s="18" t="s">
        <v>117</v>
      </c>
      <c r="B66" s="5">
        <f>B21/(B14*3)</f>
        <v>6196.6891439933443</v>
      </c>
      <c r="C66" s="5">
        <f>C21/((C14+D14)*3)</f>
        <v>6123.9962812478489</v>
      </c>
      <c r="D66" s="5"/>
      <c r="E66" s="5">
        <f t="shared" ref="E66:G66" si="13">E21/(E14*3)</f>
        <v>4458.4285442340088</v>
      </c>
      <c r="F66" s="5"/>
      <c r="G66" s="5">
        <f t="shared" si="13"/>
        <v>13510.668349847561</v>
      </c>
      <c r="H66" s="5"/>
      <c r="I66" s="5"/>
      <c r="J66" s="18"/>
    </row>
    <row r="67" spans="1:10" x14ac:dyDescent="0.25">
      <c r="A67" s="18" t="s">
        <v>45</v>
      </c>
      <c r="B67" s="8">
        <f>(B65/B66)*B49</f>
        <v>112.41005083937918</v>
      </c>
      <c r="C67" s="8">
        <f>(C65/C66)*C49</f>
        <v>133.64778938569984</v>
      </c>
      <c r="D67" s="8"/>
      <c r="E67" s="8">
        <f>(E65/E66)*E49</f>
        <v>110.03871648231734</v>
      </c>
      <c r="F67" s="8"/>
      <c r="G67" s="8">
        <f>(G65/G66)*G49</f>
        <v>123.48734050753028</v>
      </c>
      <c r="H67" s="8"/>
      <c r="I67" s="8"/>
      <c r="J67" s="18"/>
    </row>
    <row r="68" spans="1:10" x14ac:dyDescent="0.25">
      <c r="A68" s="18" t="s">
        <v>109</v>
      </c>
      <c r="B68" s="17">
        <f>B20/B12</f>
        <v>25666.017359911697</v>
      </c>
      <c r="C68" s="17">
        <f>C20/(C12+D12)</f>
        <v>31077.535564578895</v>
      </c>
      <c r="D68" s="17"/>
      <c r="E68" s="17">
        <f t="shared" ref="E68:G68" si="14">E20/E12</f>
        <v>17279.099742606188</v>
      </c>
      <c r="F68" s="17"/>
      <c r="G68" s="17">
        <f t="shared" si="14"/>
        <v>60339.54</v>
      </c>
      <c r="H68" s="17"/>
      <c r="I68" s="17"/>
      <c r="J68" s="18"/>
    </row>
    <row r="69" spans="1:10" x14ac:dyDescent="0.25">
      <c r="A69" s="18" t="s">
        <v>108</v>
      </c>
      <c r="B69" s="8">
        <f>B21/B14</f>
        <v>18590.067431980031</v>
      </c>
      <c r="C69" s="8">
        <f>C21/(C14+D14)</f>
        <v>18371.988843743547</v>
      </c>
      <c r="D69" s="8"/>
      <c r="E69" s="8">
        <f t="shared" ref="E69:G69" si="15">E21/E14</f>
        <v>13375.285632702025</v>
      </c>
      <c r="F69" s="8"/>
      <c r="G69" s="8">
        <f t="shared" si="15"/>
        <v>40532.005049542684</v>
      </c>
      <c r="H69" s="8"/>
      <c r="I69" s="8"/>
      <c r="J69" s="18"/>
    </row>
    <row r="70" spans="1:10" x14ac:dyDescent="0.25">
      <c r="A70" s="18"/>
      <c r="B70" s="8"/>
      <c r="C70" s="8"/>
      <c r="D70" s="8"/>
      <c r="E70" s="8"/>
      <c r="F70" s="8"/>
      <c r="G70" s="8"/>
      <c r="H70" s="8"/>
      <c r="I70" s="8"/>
      <c r="J70" s="18"/>
    </row>
    <row r="71" spans="1:10" x14ac:dyDescent="0.25">
      <c r="A71" s="18" t="s">
        <v>46</v>
      </c>
      <c r="B71" s="8"/>
      <c r="C71" s="8"/>
      <c r="D71" s="8"/>
      <c r="E71" s="8"/>
      <c r="F71" s="8"/>
      <c r="G71" s="8"/>
      <c r="H71" s="8"/>
      <c r="I71" s="8"/>
      <c r="J71" s="18"/>
    </row>
    <row r="72" spans="1:10" x14ac:dyDescent="0.25">
      <c r="A72" s="18" t="s">
        <v>47</v>
      </c>
      <c r="B72" s="8">
        <f>(B27/B26)*100</f>
        <v>67.839081005767582</v>
      </c>
      <c r="C72" s="8"/>
      <c r="D72" s="8"/>
      <c r="E72" s="8"/>
      <c r="F72" s="8"/>
      <c r="G72" s="8"/>
      <c r="H72" s="8"/>
      <c r="I72" s="8"/>
      <c r="J72" s="18"/>
    </row>
    <row r="73" spans="1:10" x14ac:dyDescent="0.25">
      <c r="A73" s="18" t="s">
        <v>48</v>
      </c>
      <c r="B73" s="8">
        <f>(B21/B27)*100</f>
        <v>100.8290417636404</v>
      </c>
      <c r="C73" s="8"/>
      <c r="D73" s="8"/>
      <c r="E73" s="8"/>
      <c r="F73" s="8"/>
      <c r="G73" s="8"/>
      <c r="H73" s="8"/>
      <c r="I73" s="8"/>
      <c r="J73" s="18"/>
    </row>
    <row r="74" spans="1:10" ht="15.75" thickBot="1" x14ac:dyDescent="0.3">
      <c r="A74" s="63"/>
      <c r="B74" s="63"/>
      <c r="C74" s="63"/>
      <c r="D74" s="63"/>
      <c r="E74" s="63"/>
      <c r="F74" s="63"/>
      <c r="G74" s="63"/>
      <c r="H74" s="63"/>
      <c r="I74" s="63"/>
      <c r="J74" s="18"/>
    </row>
    <row r="75" spans="1:10" ht="15.75" thickTop="1" x14ac:dyDescent="0.25">
      <c r="A75" s="19" t="s">
        <v>122</v>
      </c>
      <c r="B75" s="18"/>
      <c r="C75" s="18"/>
      <c r="D75" s="18"/>
      <c r="E75" s="18"/>
      <c r="F75" s="18"/>
      <c r="G75" s="18"/>
      <c r="H75" s="18"/>
      <c r="I75" s="18"/>
      <c r="J75" s="18"/>
    </row>
    <row r="76" spans="1:10" x14ac:dyDescent="0.25">
      <c r="A76" s="18" t="s">
        <v>60</v>
      </c>
      <c r="B76" s="18"/>
      <c r="C76" s="18"/>
      <c r="D76" s="18"/>
      <c r="E76" s="18"/>
      <c r="F76" s="18"/>
      <c r="G76" s="18"/>
      <c r="H76" s="18"/>
      <c r="I76" s="18"/>
      <c r="J76" s="18"/>
    </row>
    <row r="77" spans="1:10" x14ac:dyDescent="0.25">
      <c r="A77" s="18" t="s">
        <v>61</v>
      </c>
      <c r="B77" s="18"/>
      <c r="C77" s="18"/>
      <c r="D77" s="18"/>
      <c r="E77" s="18"/>
      <c r="F77" s="18"/>
      <c r="G77" s="18"/>
      <c r="H77" s="18"/>
      <c r="I77" s="18"/>
      <c r="J77" s="18"/>
    </row>
    <row r="78" spans="1:10" x14ac:dyDescent="0.25">
      <c r="A78" t="s">
        <v>113</v>
      </c>
      <c r="B78" s="10"/>
      <c r="C78" s="10"/>
      <c r="D78" s="10"/>
      <c r="E78" s="10"/>
      <c r="F78" s="10"/>
    </row>
    <row r="79" spans="1:10" x14ac:dyDescent="0.25">
      <c r="A79" t="s">
        <v>128</v>
      </c>
    </row>
    <row r="80" spans="1:10" x14ac:dyDescent="0.25">
      <c r="A80" t="s">
        <v>123</v>
      </c>
    </row>
    <row r="81" spans="1:1" x14ac:dyDescent="0.25">
      <c r="A81" t="s">
        <v>121</v>
      </c>
    </row>
    <row r="82" spans="1:1" x14ac:dyDescent="0.25">
      <c r="A82" t="s">
        <v>130</v>
      </c>
    </row>
  </sheetData>
  <mergeCells count="16">
    <mergeCell ref="I4:I5"/>
    <mergeCell ref="C23:D23"/>
    <mergeCell ref="E23:F23"/>
    <mergeCell ref="E19:F19"/>
    <mergeCell ref="E20:F20"/>
    <mergeCell ref="E21:F21"/>
    <mergeCell ref="E22:F22"/>
    <mergeCell ref="C19:D19"/>
    <mergeCell ref="C20:D20"/>
    <mergeCell ref="C21:D21"/>
    <mergeCell ref="C22:D22"/>
    <mergeCell ref="A2:G2"/>
    <mergeCell ref="A4:A5"/>
    <mergeCell ref="E5:F5"/>
    <mergeCell ref="C5:D5"/>
    <mergeCell ref="C4: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zoomScale="80" zoomScaleNormal="80" workbookViewId="0">
      <selection activeCell="K16" sqref="K16"/>
    </sheetView>
  </sheetViews>
  <sheetFormatPr baseColWidth="10" defaultRowHeight="15" x14ac:dyDescent="0.25"/>
  <cols>
    <col min="1" max="1" width="55.140625" customWidth="1"/>
    <col min="2" max="2" width="16.140625" customWidth="1"/>
    <col min="3" max="4" width="15.5703125" customWidth="1"/>
    <col min="5" max="6" width="14.5703125" customWidth="1"/>
    <col min="7" max="7" width="14.42578125" bestFit="1" customWidth="1"/>
    <col min="8" max="8" width="13.85546875" bestFit="1" customWidth="1"/>
    <col min="9" max="9" width="15.85546875" bestFit="1" customWidth="1"/>
  </cols>
  <sheetData>
    <row r="2" spans="1:9" ht="15.75" x14ac:dyDescent="0.25">
      <c r="A2" s="42" t="s">
        <v>96</v>
      </c>
      <c r="B2" s="42"/>
      <c r="C2" s="42"/>
      <c r="D2" s="42"/>
      <c r="E2" s="42"/>
      <c r="F2" s="42"/>
      <c r="G2" s="42"/>
    </row>
    <row r="4" spans="1:9" x14ac:dyDescent="0.25">
      <c r="A4" s="43" t="s">
        <v>1</v>
      </c>
      <c r="B4" s="13" t="s">
        <v>2</v>
      </c>
      <c r="C4" s="46" t="s">
        <v>3</v>
      </c>
      <c r="D4" s="46"/>
      <c r="E4" s="46"/>
      <c r="F4" s="46"/>
      <c r="G4" s="46"/>
      <c r="H4" s="46"/>
      <c r="I4" s="43" t="s">
        <v>125</v>
      </c>
    </row>
    <row r="5" spans="1:9" ht="15.75" thickBot="1" x14ac:dyDescent="0.3">
      <c r="A5" s="44"/>
      <c r="B5" s="1" t="s">
        <v>4</v>
      </c>
      <c r="C5" s="45" t="s">
        <v>5</v>
      </c>
      <c r="D5" s="45"/>
      <c r="E5" s="45" t="s">
        <v>127</v>
      </c>
      <c r="F5" s="45"/>
      <c r="G5" s="1" t="s">
        <v>6</v>
      </c>
      <c r="H5" s="9" t="s">
        <v>126</v>
      </c>
      <c r="I5" s="44"/>
    </row>
    <row r="6" spans="1:9" ht="15.75" thickTop="1" x14ac:dyDescent="0.25">
      <c r="B6" t="s">
        <v>2</v>
      </c>
      <c r="C6" s="20" t="s">
        <v>118</v>
      </c>
      <c r="D6" s="20" t="s">
        <v>119</v>
      </c>
      <c r="E6" s="20">
        <v>1600</v>
      </c>
      <c r="F6" s="20" t="s">
        <v>120</v>
      </c>
      <c r="G6" s="20" t="s">
        <v>6</v>
      </c>
    </row>
    <row r="7" spans="1:9" x14ac:dyDescent="0.25">
      <c r="A7" s="2" t="s">
        <v>7</v>
      </c>
    </row>
    <row r="9" spans="1:9" x14ac:dyDescent="0.25">
      <c r="A9" t="s">
        <v>8</v>
      </c>
    </row>
    <row r="10" spans="1:9" x14ac:dyDescent="0.25">
      <c r="A10" s="3" t="s">
        <v>97</v>
      </c>
      <c r="B10" s="4">
        <f>+C10+E10</f>
        <v>126671.66666666667</v>
      </c>
      <c r="C10" s="4">
        <f>96905/3</f>
        <v>32301.666666666668</v>
      </c>
      <c r="D10" s="4">
        <f>24448/3</f>
        <v>8149.333333333333</v>
      </c>
      <c r="E10" s="4">
        <f>283110/3</f>
        <v>94370</v>
      </c>
      <c r="F10" s="4">
        <f>58903/3</f>
        <v>19634.333333333332</v>
      </c>
      <c r="G10" s="4">
        <f>15582/3</f>
        <v>5194</v>
      </c>
      <c r="H10" s="5" t="s">
        <v>124</v>
      </c>
    </row>
    <row r="11" spans="1:9" x14ac:dyDescent="0.25">
      <c r="A11" s="14" t="s">
        <v>107</v>
      </c>
      <c r="B11" s="4">
        <f>+C11+E11</f>
        <v>122153.66666666667</v>
      </c>
      <c r="C11" s="4">
        <f>83351/3</f>
        <v>27783.666666666668</v>
      </c>
      <c r="D11" s="4">
        <f>24448/3</f>
        <v>8149.333333333333</v>
      </c>
      <c r="E11" s="4">
        <f>283110/3</f>
        <v>94370</v>
      </c>
      <c r="F11" s="4">
        <f>58903/3</f>
        <v>19634.333333333332</v>
      </c>
      <c r="G11" s="4">
        <f>15582/3</f>
        <v>5194</v>
      </c>
      <c r="H11" s="5" t="s">
        <v>124</v>
      </c>
    </row>
    <row r="12" spans="1:9" x14ac:dyDescent="0.25">
      <c r="A12" s="3" t="s">
        <v>98</v>
      </c>
      <c r="B12" s="4">
        <f t="shared" ref="B12:B16" si="0">+C12+E12</f>
        <v>132562</v>
      </c>
      <c r="C12" s="4">
        <f>245+26227+2991+2924</f>
        <v>32387</v>
      </c>
      <c r="D12" s="4">
        <f>8556</f>
        <v>8556</v>
      </c>
      <c r="E12" s="4">
        <f>100175</f>
        <v>100175</v>
      </c>
      <c r="F12" s="12">
        <f>26196+28818</f>
        <v>55014</v>
      </c>
      <c r="G12" s="4">
        <f>21153/3</f>
        <v>7051</v>
      </c>
      <c r="H12" s="5"/>
    </row>
    <row r="13" spans="1:9" x14ac:dyDescent="0.25">
      <c r="A13" s="14" t="s">
        <v>107</v>
      </c>
      <c r="B13" s="4">
        <f t="shared" si="0"/>
        <v>126402</v>
      </c>
      <c r="C13" s="4">
        <f>26227</f>
        <v>26227</v>
      </c>
      <c r="D13" s="4">
        <f>8556</f>
        <v>8556</v>
      </c>
      <c r="E13" s="4">
        <f>100175</f>
        <v>100175</v>
      </c>
      <c r="F13" s="12">
        <f>26196+28818</f>
        <v>55014</v>
      </c>
      <c r="G13" s="4">
        <f>21153/3</f>
        <v>7051</v>
      </c>
      <c r="H13" s="5"/>
    </row>
    <row r="14" spans="1:9" x14ac:dyDescent="0.25">
      <c r="A14" s="3" t="s">
        <v>99</v>
      </c>
      <c r="B14" s="4">
        <f t="shared" si="0"/>
        <v>124063</v>
      </c>
      <c r="C14" s="5">
        <v>32216.333333333332</v>
      </c>
      <c r="D14" s="4">
        <f>25518/3</f>
        <v>8506</v>
      </c>
      <c r="E14" s="4">
        <f>275540/3</f>
        <v>91846.666666666672</v>
      </c>
      <c r="F14" s="12">
        <f>(79034+53691)/3</f>
        <v>44241.666666666664</v>
      </c>
      <c r="G14" s="4">
        <f>21153/3</f>
        <v>7051</v>
      </c>
      <c r="H14" s="5">
        <v>969</v>
      </c>
    </row>
    <row r="15" spans="1:9" x14ac:dyDescent="0.25">
      <c r="A15" s="14" t="s">
        <v>107</v>
      </c>
      <c r="B15" s="4">
        <f t="shared" si="0"/>
        <v>102983.6430629492</v>
      </c>
      <c r="C15" s="4">
        <f>78169/3</f>
        <v>26056.333333333332</v>
      </c>
      <c r="D15" s="4">
        <f>25518/3</f>
        <v>8506</v>
      </c>
      <c r="E15" s="4">
        <v>76927.309729615867</v>
      </c>
      <c r="F15" s="12">
        <f>(79034+53691)/3</f>
        <v>44241.666666666664</v>
      </c>
      <c r="G15" s="4">
        <f>21153/3</f>
        <v>7051</v>
      </c>
      <c r="H15" s="5">
        <v>969</v>
      </c>
    </row>
    <row r="16" spans="1:9" x14ac:dyDescent="0.25">
      <c r="A16" s="3" t="s">
        <v>12</v>
      </c>
      <c r="B16" s="4">
        <f t="shared" si="0"/>
        <v>124476.33333333333</v>
      </c>
      <c r="C16" s="4">
        <f>352060/12</f>
        <v>29338.333333333332</v>
      </c>
      <c r="D16" s="4">
        <f>8556</f>
        <v>8556</v>
      </c>
      <c r="E16" s="4">
        <f>1141656/12</f>
        <v>95138</v>
      </c>
      <c r="F16" s="12">
        <f>(277456+306146)/12</f>
        <v>48633.5</v>
      </c>
      <c r="G16" s="4">
        <f>84612/12</f>
        <v>7051</v>
      </c>
      <c r="H16" s="5"/>
    </row>
    <row r="18" spans="1:10" x14ac:dyDescent="0.25">
      <c r="A18" s="6" t="s">
        <v>13</v>
      </c>
    </row>
    <row r="19" spans="1:10" x14ac:dyDescent="0.25">
      <c r="A19" s="3" t="s">
        <v>97</v>
      </c>
      <c r="B19" s="4">
        <f>SUM(C19:G19)</f>
        <v>2483447241.7600002</v>
      </c>
      <c r="C19" s="47">
        <v>814324188</v>
      </c>
      <c r="D19" s="47"/>
      <c r="E19" s="47">
        <v>1391195801.5</v>
      </c>
      <c r="F19" s="47"/>
      <c r="G19" s="4">
        <v>277927252.25999999</v>
      </c>
      <c r="H19" s="4"/>
    </row>
    <row r="20" spans="1:10" x14ac:dyDescent="0.25">
      <c r="A20" s="3" t="s">
        <v>98</v>
      </c>
      <c r="B20" s="4">
        <f t="shared" ref="B20:B22" si="1">SUM(C20:G20)</f>
        <v>3530738760.54</v>
      </c>
      <c r="C20" s="47">
        <f>1306174800+16170840</f>
        <v>1322345640</v>
      </c>
      <c r="D20" s="47"/>
      <c r="E20" s="47">
        <v>1782939024</v>
      </c>
      <c r="F20" s="47"/>
      <c r="G20" s="4">
        <f>141818032.18*3</f>
        <v>425454096.54000002</v>
      </c>
      <c r="H20" s="5"/>
      <c r="I20" s="18"/>
      <c r="J20" s="22"/>
    </row>
    <row r="21" spans="1:10" x14ac:dyDescent="0.25">
      <c r="A21" s="3" t="s">
        <v>99</v>
      </c>
      <c r="B21" s="5">
        <f>SUM(C21:I21)</f>
        <v>5161870079.4400005</v>
      </c>
      <c r="C21" s="48">
        <f>1437062.86*1000</f>
        <v>1437062860</v>
      </c>
      <c r="D21" s="48"/>
      <c r="E21" s="48">
        <f>2618319.46*1000</f>
        <v>2618319460</v>
      </c>
      <c r="F21" s="48"/>
      <c r="G21" s="5">
        <f>694890.26*1000</f>
        <v>694890260</v>
      </c>
      <c r="H21" s="5">
        <v>12821225.6</v>
      </c>
      <c r="I21" s="5">
        <v>398776273.83999997</v>
      </c>
      <c r="J21" s="18"/>
    </row>
    <row r="22" spans="1:10" x14ac:dyDescent="0.25">
      <c r="A22" s="3" t="s">
        <v>12</v>
      </c>
      <c r="B22" s="4">
        <f t="shared" si="1"/>
        <v>13269992710.619999</v>
      </c>
      <c r="C22" s="47">
        <f>4742721720+64683360</f>
        <v>4807405080</v>
      </c>
      <c r="D22" s="47"/>
      <c r="E22" s="47">
        <v>6776922128</v>
      </c>
      <c r="F22" s="47"/>
      <c r="G22" s="4">
        <v>1685665502.6199999</v>
      </c>
      <c r="H22" s="18"/>
      <c r="I22" s="18"/>
      <c r="J22" s="7"/>
    </row>
    <row r="23" spans="1:10" x14ac:dyDescent="0.25">
      <c r="A23" s="3" t="s">
        <v>100</v>
      </c>
      <c r="B23" s="4">
        <f>SUM(C23:I23)</f>
        <v>3313209720</v>
      </c>
      <c r="C23" s="47">
        <v>0</v>
      </c>
      <c r="D23" s="47"/>
      <c r="E23" s="47">
        <f>E21</f>
        <v>2618319460</v>
      </c>
      <c r="F23" s="47"/>
      <c r="G23">
        <f>G21</f>
        <v>694890260</v>
      </c>
      <c r="H23">
        <v>0</v>
      </c>
      <c r="I23">
        <v>0</v>
      </c>
    </row>
    <row r="24" spans="1:10" x14ac:dyDescent="0.25">
      <c r="A24" s="18"/>
      <c r="B24" s="5"/>
      <c r="C24" s="5"/>
      <c r="D24" s="5"/>
      <c r="E24" s="5"/>
      <c r="F24" s="5"/>
      <c r="G24" s="5"/>
      <c r="H24" s="18"/>
      <c r="I24" s="18"/>
      <c r="J24" s="18"/>
    </row>
    <row r="25" spans="1:10" x14ac:dyDescent="0.25">
      <c r="A25" s="59" t="s">
        <v>15</v>
      </c>
      <c r="B25" s="5"/>
      <c r="C25" s="5"/>
      <c r="D25" s="5"/>
      <c r="E25" s="5"/>
      <c r="F25" s="5"/>
      <c r="G25" s="5"/>
      <c r="H25" s="5"/>
      <c r="I25" s="5"/>
      <c r="J25" s="18"/>
    </row>
    <row r="26" spans="1:10" x14ac:dyDescent="0.25">
      <c r="A26" s="56" t="s">
        <v>98</v>
      </c>
      <c r="B26" s="5">
        <f>B20</f>
        <v>3530738760.54</v>
      </c>
      <c r="C26" s="5"/>
      <c r="D26" s="5"/>
      <c r="E26" s="5"/>
      <c r="F26" s="5"/>
      <c r="G26" s="5"/>
      <c r="H26" s="5"/>
      <c r="I26" s="5"/>
      <c r="J26" s="18"/>
    </row>
    <row r="27" spans="1:10" x14ac:dyDescent="0.25">
      <c r="A27" s="56" t="s">
        <v>99</v>
      </c>
      <c r="B27" s="64">
        <v>5564984403</v>
      </c>
      <c r="C27" s="65"/>
      <c r="D27" s="65"/>
      <c r="E27" s="5"/>
      <c r="F27" s="5"/>
      <c r="G27" s="5"/>
      <c r="H27" s="5"/>
      <c r="I27" s="5"/>
      <c r="J27" s="18"/>
    </row>
    <row r="28" spans="1:10" x14ac:dyDescent="0.25">
      <c r="A28" s="18"/>
      <c r="B28" s="18"/>
      <c r="C28" s="18"/>
      <c r="D28" s="18"/>
      <c r="E28" s="18"/>
      <c r="F28" s="18"/>
      <c r="G28" s="18"/>
      <c r="H28" s="18"/>
      <c r="I28" s="18"/>
      <c r="J28" s="18"/>
    </row>
    <row r="29" spans="1:10" x14ac:dyDescent="0.25">
      <c r="A29" s="18" t="s">
        <v>16</v>
      </c>
      <c r="B29" s="18"/>
      <c r="C29" s="18"/>
      <c r="D29" s="18"/>
      <c r="E29" s="18"/>
      <c r="F29" s="18"/>
      <c r="G29" s="18"/>
      <c r="H29" s="18"/>
      <c r="I29" s="18"/>
      <c r="J29" s="18"/>
    </row>
    <row r="30" spans="1:10" x14ac:dyDescent="0.25">
      <c r="A30" s="56" t="s">
        <v>101</v>
      </c>
      <c r="B30" s="60">
        <v>1.42</v>
      </c>
      <c r="C30" s="60">
        <v>1.42</v>
      </c>
      <c r="D30" s="60">
        <v>1.42</v>
      </c>
      <c r="E30" s="60">
        <v>1.42</v>
      </c>
      <c r="F30" s="60">
        <v>1.42</v>
      </c>
      <c r="G30" s="60">
        <v>1.42</v>
      </c>
      <c r="H30" s="60">
        <v>1.42</v>
      </c>
      <c r="I30" s="60"/>
      <c r="J30" s="18"/>
    </row>
    <row r="31" spans="1:10" x14ac:dyDescent="0.25">
      <c r="A31" s="56" t="s">
        <v>102</v>
      </c>
      <c r="B31" s="60">
        <v>1.49</v>
      </c>
      <c r="C31" s="60">
        <v>1.49</v>
      </c>
      <c r="D31" s="60">
        <v>1.49</v>
      </c>
      <c r="E31" s="60">
        <v>1.49</v>
      </c>
      <c r="F31" s="60">
        <v>1.49</v>
      </c>
      <c r="G31" s="60">
        <v>1.49</v>
      </c>
      <c r="H31" s="60">
        <v>1.49</v>
      </c>
      <c r="I31" s="60"/>
      <c r="J31" s="18"/>
    </row>
    <row r="32" spans="1:10" x14ac:dyDescent="0.25">
      <c r="A32" s="56" t="s">
        <v>19</v>
      </c>
      <c r="B32" s="5">
        <v>73492</v>
      </c>
      <c r="C32" s="5">
        <v>73492</v>
      </c>
      <c r="D32" s="5">
        <v>73492</v>
      </c>
      <c r="E32" s="5">
        <v>73492</v>
      </c>
      <c r="F32" s="5">
        <v>73492</v>
      </c>
      <c r="G32" s="5">
        <v>73492</v>
      </c>
      <c r="H32" s="5">
        <v>93168</v>
      </c>
      <c r="I32" s="5"/>
      <c r="J32" s="18"/>
    </row>
    <row r="33" spans="1:10" x14ac:dyDescent="0.25">
      <c r="A33" s="18"/>
      <c r="B33" s="18"/>
      <c r="C33" s="18"/>
      <c r="D33" s="18"/>
      <c r="E33" s="18"/>
      <c r="F33" s="18"/>
      <c r="G33" s="18"/>
      <c r="H33" s="18"/>
      <c r="I33" s="18"/>
      <c r="J33" s="18"/>
    </row>
    <row r="34" spans="1:10" x14ac:dyDescent="0.25">
      <c r="A34" s="61" t="s">
        <v>20</v>
      </c>
      <c r="B34" s="18"/>
      <c r="C34" s="18"/>
      <c r="D34" s="18"/>
      <c r="E34" s="18"/>
      <c r="F34" s="18"/>
      <c r="G34" s="18"/>
      <c r="H34" s="18"/>
      <c r="I34" s="18"/>
      <c r="J34" s="18"/>
    </row>
    <row r="35" spans="1:10" x14ac:dyDescent="0.25">
      <c r="A35" s="18" t="s">
        <v>103</v>
      </c>
      <c r="B35" s="5">
        <f>B19/B30</f>
        <v>1748906508.2816904</v>
      </c>
      <c r="C35" s="5">
        <f t="shared" ref="C35:G35" si="2">C19/C30</f>
        <v>573467738.02816904</v>
      </c>
      <c r="D35" s="5"/>
      <c r="E35" s="5">
        <f t="shared" si="2"/>
        <v>979715353.1690141</v>
      </c>
      <c r="F35" s="5"/>
      <c r="G35" s="5">
        <f t="shared" si="2"/>
        <v>195723417.08450705</v>
      </c>
      <c r="H35" s="5"/>
      <c r="I35" s="5"/>
      <c r="J35" s="18"/>
    </row>
    <row r="36" spans="1:10" x14ac:dyDescent="0.25">
      <c r="A36" s="18" t="s">
        <v>104</v>
      </c>
      <c r="B36" s="5">
        <f>B21/B31</f>
        <v>3464342335.1946311</v>
      </c>
      <c r="C36" s="5">
        <f t="shared" ref="C36:G36" si="3">C21/C31</f>
        <v>964471718.12080538</v>
      </c>
      <c r="D36" s="5"/>
      <c r="E36" s="5">
        <f t="shared" si="3"/>
        <v>1757261382.5503356</v>
      </c>
      <c r="F36" s="5"/>
      <c r="G36" s="5">
        <f t="shared" si="3"/>
        <v>466369302.01342285</v>
      </c>
      <c r="H36" s="5"/>
      <c r="I36" s="5"/>
      <c r="J36" s="18"/>
    </row>
    <row r="37" spans="1:10" x14ac:dyDescent="0.25">
      <c r="A37" s="18" t="s">
        <v>105</v>
      </c>
      <c r="B37" s="5">
        <f>B35/B10</f>
        <v>13806.611646500982</v>
      </c>
      <c r="C37" s="5">
        <f>C35/(C10+D10)</f>
        <v>14176.849472897309</v>
      </c>
      <c r="D37" s="5"/>
      <c r="E37" s="5">
        <f>E35/(E10+F10)</f>
        <v>8593.6676661619367</v>
      </c>
      <c r="F37" s="5"/>
      <c r="G37" s="5">
        <f>G35/G10</f>
        <v>37682.5985915493</v>
      </c>
      <c r="H37" s="5"/>
      <c r="I37" s="5"/>
      <c r="J37" s="18"/>
    </row>
    <row r="38" spans="1:10" x14ac:dyDescent="0.25">
      <c r="A38" s="18" t="s">
        <v>106</v>
      </c>
      <c r="B38" s="5">
        <f>B36/B14</f>
        <v>27924.057415946987</v>
      </c>
      <c r="C38" s="5">
        <f>C36/(C14+D14)</f>
        <v>23684.097623436905</v>
      </c>
      <c r="D38" s="5"/>
      <c r="E38" s="5">
        <f>E36/(E14+F14)</f>
        <v>12912.652683063712</v>
      </c>
      <c r="F38" s="5"/>
      <c r="G38" s="62">
        <f>G36/G14</f>
        <v>66142.292159044504</v>
      </c>
      <c r="H38" s="62"/>
      <c r="I38" s="62"/>
      <c r="J38" s="18"/>
    </row>
    <row r="39" spans="1:10" x14ac:dyDescent="0.25">
      <c r="A39" s="18"/>
      <c r="B39" s="18"/>
      <c r="C39" s="18"/>
      <c r="D39" s="18"/>
      <c r="E39" s="18"/>
      <c r="F39" s="18"/>
      <c r="G39" s="18"/>
      <c r="H39" s="18"/>
      <c r="I39" s="18"/>
      <c r="J39" s="18"/>
    </row>
    <row r="40" spans="1:10" x14ac:dyDescent="0.25">
      <c r="A40" s="61" t="s">
        <v>25</v>
      </c>
      <c r="B40" s="18"/>
      <c r="C40" s="18"/>
      <c r="D40" s="18"/>
      <c r="E40" s="18"/>
      <c r="F40" s="18"/>
      <c r="G40" s="18"/>
      <c r="H40" s="18"/>
      <c r="I40" s="18"/>
      <c r="J40" s="18"/>
    </row>
    <row r="41" spans="1:10" x14ac:dyDescent="0.25">
      <c r="A41" s="18"/>
      <c r="B41" s="18"/>
      <c r="C41" s="18"/>
      <c r="D41" s="18"/>
      <c r="E41" s="18"/>
      <c r="F41" s="18"/>
      <c r="G41" s="18"/>
      <c r="H41" s="18"/>
      <c r="I41" s="18"/>
      <c r="J41" s="18"/>
    </row>
    <row r="42" spans="1:10" x14ac:dyDescent="0.25">
      <c r="A42" s="18" t="s">
        <v>26</v>
      </c>
      <c r="B42" s="18"/>
      <c r="C42" s="18"/>
      <c r="D42" s="18"/>
      <c r="E42" s="18"/>
      <c r="F42" s="18"/>
      <c r="G42" s="18"/>
      <c r="H42" s="18"/>
      <c r="I42" s="18"/>
      <c r="J42" s="18"/>
    </row>
    <row r="43" spans="1:10" x14ac:dyDescent="0.25">
      <c r="A43" s="18" t="s">
        <v>27</v>
      </c>
      <c r="B43" s="8">
        <f>(B13/B32)*100</f>
        <v>171.99423066456211</v>
      </c>
      <c r="C43" s="8">
        <f t="shared" ref="C43:G43" si="4">(C13/C32)*100</f>
        <v>35.686877483263487</v>
      </c>
      <c r="D43" s="8">
        <f t="shared" si="4"/>
        <v>11.64208349208077</v>
      </c>
      <c r="E43" s="8">
        <f t="shared" si="4"/>
        <v>136.30735318129865</v>
      </c>
      <c r="F43" s="8">
        <f t="shared" si="4"/>
        <v>74.857127306373485</v>
      </c>
      <c r="G43" s="8">
        <f t="shared" si="4"/>
        <v>9.5942415501006906</v>
      </c>
      <c r="H43" s="8"/>
      <c r="I43" s="8"/>
      <c r="J43" s="18"/>
    </row>
    <row r="44" spans="1:10" x14ac:dyDescent="0.25">
      <c r="A44" s="18" t="s">
        <v>28</v>
      </c>
      <c r="B44" s="8">
        <f>(B15/B32)*100</f>
        <v>140.12905222738419</v>
      </c>
      <c r="C44" s="8">
        <f t="shared" ref="C44:G44" si="5">(C15/C32)*100</f>
        <v>35.454652660607053</v>
      </c>
      <c r="D44" s="8">
        <f t="shared" si="5"/>
        <v>11.574048876068144</v>
      </c>
      <c r="E44" s="8">
        <f t="shared" si="5"/>
        <v>104.67439956677715</v>
      </c>
      <c r="F44" s="8">
        <f t="shared" si="5"/>
        <v>60.199296068506314</v>
      </c>
      <c r="G44" s="8">
        <f t="shared" si="5"/>
        <v>9.5942415501006906</v>
      </c>
      <c r="H44" s="8"/>
      <c r="I44" s="8"/>
      <c r="J44" s="18"/>
    </row>
    <row r="45" spans="1:10" x14ac:dyDescent="0.25">
      <c r="A45" s="18"/>
      <c r="B45" s="18"/>
      <c r="C45" s="18"/>
      <c r="D45" s="18"/>
      <c r="E45" s="18"/>
      <c r="F45" s="18"/>
      <c r="G45" s="18"/>
      <c r="H45" s="18"/>
      <c r="I45" s="18"/>
      <c r="J45" s="18"/>
    </row>
    <row r="46" spans="1:10" x14ac:dyDescent="0.25">
      <c r="A46" s="18" t="s">
        <v>29</v>
      </c>
      <c r="B46" s="18"/>
      <c r="C46" s="18"/>
      <c r="D46" s="18"/>
      <c r="E46" s="18"/>
      <c r="F46" s="18"/>
      <c r="G46" s="18"/>
      <c r="H46" s="18"/>
      <c r="I46" s="18"/>
      <c r="J46" s="18"/>
    </row>
    <row r="47" spans="1:10" x14ac:dyDescent="0.25">
      <c r="A47" s="18" t="s">
        <v>30</v>
      </c>
      <c r="B47" s="8">
        <f>B14/B12*100</f>
        <v>93.588660400416416</v>
      </c>
      <c r="C47" s="8">
        <f t="shared" ref="C47:G47" si="6">C14/C12*100</f>
        <v>99.4730395940758</v>
      </c>
      <c r="D47" s="8">
        <f t="shared" si="6"/>
        <v>99.415614773258525</v>
      </c>
      <c r="E47" s="8">
        <f t="shared" si="6"/>
        <v>91.686215789035856</v>
      </c>
      <c r="F47" s="8">
        <f t="shared" si="6"/>
        <v>80.418923667914839</v>
      </c>
      <c r="G47" s="8">
        <f t="shared" si="6"/>
        <v>100</v>
      </c>
      <c r="H47" s="8"/>
      <c r="I47" s="8"/>
      <c r="J47" s="18"/>
    </row>
    <row r="48" spans="1:10" x14ac:dyDescent="0.25">
      <c r="A48" s="18" t="s">
        <v>31</v>
      </c>
      <c r="B48" s="8">
        <f>B21/B20*100</f>
        <v>146.19801773865964</v>
      </c>
      <c r="C48" s="8">
        <f>C21/C20*100</f>
        <v>108.67528250783207</v>
      </c>
      <c r="D48" s="8"/>
      <c r="E48" s="8">
        <f>E21/E20*100</f>
        <v>146.85412258944422</v>
      </c>
      <c r="F48" s="8"/>
      <c r="G48" s="8">
        <f>G21/G20*100</f>
        <v>163.32907960016982</v>
      </c>
      <c r="H48" s="8"/>
      <c r="I48" s="8"/>
      <c r="J48" s="18"/>
    </row>
    <row r="49" spans="1:10" x14ac:dyDescent="0.25">
      <c r="A49" s="18" t="s">
        <v>32</v>
      </c>
      <c r="B49" s="8">
        <f>AVERAGE(B47:B48)</f>
        <v>119.89333906953803</v>
      </c>
      <c r="C49" s="8">
        <f>(C47+D47+C48)/3</f>
        <v>102.52131229172214</v>
      </c>
      <c r="D49" s="8"/>
      <c r="E49" s="8">
        <f>(E47+F47+E48)/3</f>
        <v>106.31975401546497</v>
      </c>
      <c r="F49" s="8"/>
      <c r="G49" s="8">
        <f t="shared" ref="G49" si="7">AVERAGE(G47:G48)</f>
        <v>131.66453980008492</v>
      </c>
      <c r="H49" s="8"/>
      <c r="I49" s="8"/>
      <c r="J49" s="18"/>
    </row>
    <row r="50" spans="1:10" x14ac:dyDescent="0.25">
      <c r="A50" s="18"/>
      <c r="B50" s="8"/>
      <c r="C50" s="8"/>
      <c r="D50" s="8"/>
      <c r="E50" s="8"/>
      <c r="F50" s="8"/>
      <c r="G50" s="8"/>
      <c r="H50" s="8"/>
      <c r="I50" s="8"/>
      <c r="J50" s="18"/>
    </row>
    <row r="51" spans="1:10" x14ac:dyDescent="0.25">
      <c r="A51" s="18" t="s">
        <v>33</v>
      </c>
      <c r="B51" s="18"/>
      <c r="C51" s="18"/>
      <c r="D51" s="18"/>
      <c r="E51" s="18"/>
      <c r="F51" s="18"/>
      <c r="G51" s="18"/>
      <c r="H51" s="18"/>
      <c r="I51" s="18"/>
      <c r="J51" s="18"/>
    </row>
    <row r="52" spans="1:10" x14ac:dyDescent="0.25">
      <c r="A52" s="18" t="s">
        <v>34</v>
      </c>
      <c r="B52" s="8">
        <f>((B14/(B16))*100)</f>
        <v>99.667942232660025</v>
      </c>
      <c r="C52" s="8">
        <f t="shared" ref="C52:G52" si="8">((C14/(C16))*100)</f>
        <v>109.80969152985287</v>
      </c>
      <c r="D52" s="8">
        <f t="shared" si="8"/>
        <v>99.415614773258525</v>
      </c>
      <c r="E52" s="8">
        <f t="shared" si="8"/>
        <v>96.540464027693105</v>
      </c>
      <c r="F52" s="8">
        <f t="shared" si="8"/>
        <v>90.969530604761459</v>
      </c>
      <c r="G52" s="8">
        <f t="shared" si="8"/>
        <v>100</v>
      </c>
      <c r="H52" s="8"/>
      <c r="I52" s="8"/>
      <c r="J52" s="18"/>
    </row>
    <row r="53" spans="1:10" x14ac:dyDescent="0.25">
      <c r="A53" s="18" t="s">
        <v>35</v>
      </c>
      <c r="B53" s="8">
        <f>B21/B22*100</f>
        <v>38.898816239054504</v>
      </c>
      <c r="C53" s="8">
        <f>C21/C22*100</f>
        <v>29.892693377941846</v>
      </c>
      <c r="D53" s="8"/>
      <c r="E53" s="8">
        <f>E21/E22*100</f>
        <v>38.63582037016436</v>
      </c>
      <c r="F53" s="8"/>
      <c r="G53" s="8">
        <f>G21/G22*100</f>
        <v>41.223496531188687</v>
      </c>
      <c r="H53" s="8"/>
      <c r="I53" s="8"/>
      <c r="J53" s="18"/>
    </row>
    <row r="54" spans="1:10" x14ac:dyDescent="0.25">
      <c r="A54" s="18" t="s">
        <v>36</v>
      </c>
      <c r="B54" s="8">
        <f>(B52+B53)/2</f>
        <v>69.283379235857268</v>
      </c>
      <c r="C54" s="8">
        <f>(C52+D52+C53)/3</f>
        <v>79.705999893684407</v>
      </c>
      <c r="D54" s="8"/>
      <c r="E54" s="8">
        <f>(E52+F52+E53)/3</f>
        <v>75.381938334206311</v>
      </c>
      <c r="F54" s="8"/>
      <c r="G54" s="8">
        <f t="shared" ref="G54" si="9">(G52+G53)/2</f>
        <v>70.611748265594343</v>
      </c>
      <c r="H54" s="8"/>
      <c r="I54" s="8"/>
      <c r="J54" s="18"/>
    </row>
    <row r="55" spans="1:10" x14ac:dyDescent="0.25">
      <c r="A55" s="18"/>
      <c r="B55" s="8"/>
      <c r="C55" s="8"/>
      <c r="D55" s="8"/>
      <c r="E55" s="8"/>
      <c r="F55" s="8"/>
      <c r="G55" s="8"/>
      <c r="H55" s="8"/>
      <c r="I55" s="8"/>
      <c r="J55" s="18"/>
    </row>
    <row r="56" spans="1:10" x14ac:dyDescent="0.25">
      <c r="A56" s="18" t="s">
        <v>110</v>
      </c>
      <c r="B56" s="18"/>
      <c r="C56" s="18"/>
      <c r="D56" s="18"/>
      <c r="E56" s="18"/>
      <c r="F56" s="18"/>
      <c r="G56" s="18"/>
      <c r="H56" s="18"/>
      <c r="I56" s="18"/>
      <c r="J56" s="18"/>
    </row>
    <row r="57" spans="1:10" x14ac:dyDescent="0.25">
      <c r="A57" s="18" t="s">
        <v>37</v>
      </c>
      <c r="B57" s="8" t="s">
        <v>138</v>
      </c>
      <c r="C57" s="8" t="s">
        <v>138</v>
      </c>
      <c r="D57" s="8" t="s">
        <v>138</v>
      </c>
      <c r="E57" s="8" t="s">
        <v>138</v>
      </c>
      <c r="F57" s="8" t="s">
        <v>138</v>
      </c>
      <c r="G57" s="8" t="s">
        <v>138</v>
      </c>
      <c r="H57" s="8"/>
      <c r="I57" s="8"/>
      <c r="J57" s="18"/>
    </row>
    <row r="58" spans="1:10" x14ac:dyDescent="0.25">
      <c r="A58" s="18"/>
      <c r="B58" s="18"/>
      <c r="C58" s="18"/>
      <c r="D58" s="18"/>
      <c r="E58" s="18"/>
      <c r="F58" s="18"/>
      <c r="G58" s="18"/>
      <c r="H58" s="18"/>
      <c r="I58" s="18"/>
      <c r="J58" s="18"/>
    </row>
    <row r="59" spans="1:10" x14ac:dyDescent="0.25">
      <c r="A59" s="18" t="s">
        <v>38</v>
      </c>
      <c r="B59" s="18"/>
      <c r="C59" s="18"/>
      <c r="D59" s="18"/>
      <c r="E59" s="18"/>
      <c r="F59" s="18"/>
      <c r="G59" s="18"/>
      <c r="H59" s="18"/>
      <c r="I59" s="18"/>
      <c r="J59" s="18"/>
    </row>
    <row r="60" spans="1:10" x14ac:dyDescent="0.25">
      <c r="A60" s="18" t="s">
        <v>39</v>
      </c>
      <c r="B60" s="8">
        <f>((B14/B10)-1)*100</f>
        <v>-2.0593923924055679</v>
      </c>
      <c r="C60" s="8">
        <f t="shared" ref="C60:G60" si="10">((C14/C10)-1)*100</f>
        <v>-0.26417625509520537</v>
      </c>
      <c r="D60" s="8">
        <f t="shared" si="10"/>
        <v>4.376636125654465</v>
      </c>
      <c r="E60" s="8">
        <f t="shared" si="10"/>
        <v>-2.6738723464377778</v>
      </c>
      <c r="F60" s="8">
        <f t="shared" si="10"/>
        <v>125.32808176154018</v>
      </c>
      <c r="G60" s="8">
        <f t="shared" si="10"/>
        <v>35.752791682710814</v>
      </c>
      <c r="H60" s="8"/>
      <c r="I60" s="8"/>
      <c r="J60" s="18"/>
    </row>
    <row r="61" spans="1:10" x14ac:dyDescent="0.25">
      <c r="A61" s="18" t="s">
        <v>40</v>
      </c>
      <c r="B61" s="8">
        <f>((B36/B35)-1)*100</f>
        <v>98.086193789647751</v>
      </c>
      <c r="C61" s="8">
        <f t="shared" ref="C61:G61" si="11">((C36/C35)-1)*100</f>
        <v>68.182384842969142</v>
      </c>
      <c r="D61" s="8"/>
      <c r="E61" s="8">
        <f t="shared" si="11"/>
        <v>79.364483455959927</v>
      </c>
      <c r="F61" s="8"/>
      <c r="G61" s="8">
        <f t="shared" si="11"/>
        <v>138.27976690804437</v>
      </c>
      <c r="H61" s="8"/>
      <c r="I61" s="8"/>
      <c r="J61" s="18"/>
    </row>
    <row r="62" spans="1:10" x14ac:dyDescent="0.25">
      <c r="A62" s="18" t="s">
        <v>41</v>
      </c>
      <c r="B62" s="8">
        <f>((B38/B37)-1)*100</f>
        <v>102.2513425516955</v>
      </c>
      <c r="C62" s="8">
        <f t="shared" ref="C62:G62" si="12">((C38/C37)-1)*100</f>
        <v>67.061783852012695</v>
      </c>
      <c r="D62" s="8"/>
      <c r="E62" s="8">
        <f t="shared" si="12"/>
        <v>50.257761699443293</v>
      </c>
      <c r="F62" s="8"/>
      <c r="G62" s="8">
        <f t="shared" si="12"/>
        <v>75.524763766895788</v>
      </c>
      <c r="H62" s="8"/>
      <c r="I62" s="8"/>
      <c r="J62" s="18"/>
    </row>
    <row r="63" spans="1:10" x14ac:dyDescent="0.25">
      <c r="A63" s="18"/>
      <c r="B63" s="8"/>
      <c r="C63" s="8"/>
      <c r="D63" s="8"/>
      <c r="E63" s="8"/>
      <c r="F63" s="8"/>
      <c r="G63" s="8"/>
      <c r="H63" s="8"/>
      <c r="I63" s="8"/>
      <c r="J63" s="18"/>
    </row>
    <row r="64" spans="1:10" x14ac:dyDescent="0.25">
      <c r="A64" s="18" t="s">
        <v>42</v>
      </c>
      <c r="B64" s="18"/>
      <c r="C64" s="18"/>
      <c r="D64" s="18"/>
      <c r="E64" s="18"/>
      <c r="F64" s="18"/>
      <c r="G64" s="18"/>
      <c r="H64" s="18"/>
      <c r="I64" s="18"/>
      <c r="J64" s="18"/>
    </row>
    <row r="65" spans="1:10" x14ac:dyDescent="0.25">
      <c r="A65" s="18" t="s">
        <v>116</v>
      </c>
      <c r="B65" s="5">
        <f>B20/(B12*3)</f>
        <v>8878.2073307584378</v>
      </c>
      <c r="C65" s="5">
        <f>C20/((C12+D12)*3)</f>
        <v>10765.744571721661</v>
      </c>
      <c r="D65" s="5"/>
      <c r="E65" s="5">
        <f t="shared" ref="E65:G65" si="13">E20/(E12*3)</f>
        <v>5932.7477714000497</v>
      </c>
      <c r="F65" s="5"/>
      <c r="G65" s="5">
        <f t="shared" si="13"/>
        <v>20113.18</v>
      </c>
      <c r="H65" s="5"/>
      <c r="I65" s="5"/>
      <c r="J65" s="18"/>
    </row>
    <row r="66" spans="1:10" x14ac:dyDescent="0.25">
      <c r="A66" s="18" t="s">
        <v>117</v>
      </c>
      <c r="B66" s="5">
        <f>B21/(B14*3)</f>
        <v>13868.948516587005</v>
      </c>
      <c r="C66" s="5">
        <f>C21/((C14+D14)*3)</f>
        <v>11763.101819640329</v>
      </c>
      <c r="D66" s="5"/>
      <c r="E66" s="5">
        <f t="shared" ref="E66:G66" si="14">E21/(E14*3)</f>
        <v>9502.5022138346521</v>
      </c>
      <c r="F66" s="5"/>
      <c r="G66" s="5">
        <f t="shared" si="14"/>
        <v>32850.671772325441</v>
      </c>
      <c r="H66" s="5"/>
      <c r="I66" s="5"/>
      <c r="J66" s="18"/>
    </row>
    <row r="67" spans="1:10" x14ac:dyDescent="0.25">
      <c r="A67" s="18" t="s">
        <v>45</v>
      </c>
      <c r="B67" s="8">
        <f>(B65/B66)*B49</f>
        <v>76.74972046822667</v>
      </c>
      <c r="C67" s="8">
        <f>(C65/C66)*C49</f>
        <v>93.828845334617398</v>
      </c>
      <c r="D67" s="8"/>
      <c r="E67" s="8">
        <f>(E65/E66)*E49</f>
        <v>66.379177767800826</v>
      </c>
      <c r="F67" s="8"/>
      <c r="G67" s="8">
        <f>(G65/G66)*G49</f>
        <v>80.613042161506201</v>
      </c>
      <c r="H67" s="8"/>
      <c r="I67" s="8"/>
      <c r="J67" s="18"/>
    </row>
    <row r="68" spans="1:10" x14ac:dyDescent="0.25">
      <c r="A68" s="18" t="s">
        <v>109</v>
      </c>
      <c r="B68" s="17">
        <f>B20/B12</f>
        <v>26634.621992275312</v>
      </c>
      <c r="C68" s="17">
        <f>C20/(C12+D12)</f>
        <v>32297.233715164984</v>
      </c>
      <c r="D68" s="17"/>
      <c r="E68" s="17">
        <f t="shared" ref="E68:G68" si="15">E20/E12</f>
        <v>17798.24331420015</v>
      </c>
      <c r="F68" s="17"/>
      <c r="G68" s="17">
        <f t="shared" si="15"/>
        <v>60339.54</v>
      </c>
      <c r="H68" s="17"/>
      <c r="I68" s="17"/>
      <c r="J68" s="18"/>
    </row>
    <row r="69" spans="1:10" x14ac:dyDescent="0.25">
      <c r="A69" s="18" t="s">
        <v>108</v>
      </c>
      <c r="B69" s="8">
        <f>B21/B14</f>
        <v>41606.845549761012</v>
      </c>
      <c r="C69" s="8">
        <f>C21/(C14+D14)</f>
        <v>35289.305458920986</v>
      </c>
      <c r="D69" s="8"/>
      <c r="E69" s="8">
        <f t="shared" ref="E69:G69" si="16">E21/E14</f>
        <v>28507.506641503955</v>
      </c>
      <c r="F69" s="8"/>
      <c r="G69" s="8">
        <f t="shared" si="16"/>
        <v>98552.015316976322</v>
      </c>
      <c r="H69" s="8"/>
      <c r="I69" s="8"/>
      <c r="J69" s="18"/>
    </row>
    <row r="70" spans="1:10" x14ac:dyDescent="0.25">
      <c r="A70" s="18"/>
      <c r="B70" s="8"/>
      <c r="C70" s="8"/>
      <c r="D70" s="8"/>
      <c r="E70" s="8"/>
      <c r="F70" s="8"/>
      <c r="G70" s="8"/>
      <c r="H70" s="8"/>
      <c r="I70" s="8"/>
      <c r="J70" s="18"/>
    </row>
    <row r="71" spans="1:10" x14ac:dyDescent="0.25">
      <c r="A71" s="18" t="s">
        <v>46</v>
      </c>
      <c r="B71" s="8"/>
      <c r="C71" s="8"/>
      <c r="D71" s="8"/>
      <c r="E71" s="8"/>
      <c r="F71" s="8"/>
      <c r="G71" s="8"/>
      <c r="H71" s="8"/>
      <c r="I71" s="8"/>
      <c r="J71" s="18"/>
    </row>
    <row r="72" spans="1:10" x14ac:dyDescent="0.25">
      <c r="A72" s="18" t="s">
        <v>47</v>
      </c>
      <c r="B72" s="8">
        <f>(B27/B26)*100</f>
        <v>157.6152975460829</v>
      </c>
      <c r="C72" s="8"/>
      <c r="D72" s="8"/>
      <c r="E72" s="8"/>
      <c r="F72" s="8"/>
      <c r="G72" s="8"/>
      <c r="H72" s="8"/>
      <c r="I72" s="8"/>
      <c r="J72" s="18"/>
    </row>
    <row r="73" spans="1:10" x14ac:dyDescent="0.25">
      <c r="A73" s="18" t="s">
        <v>48</v>
      </c>
      <c r="B73" s="8">
        <f>(B21/B27)*100</f>
        <v>92.756236237738847</v>
      </c>
      <c r="C73" s="8"/>
      <c r="D73" s="8"/>
      <c r="E73" s="8"/>
      <c r="F73" s="8"/>
      <c r="G73" s="8"/>
      <c r="H73" s="8"/>
      <c r="I73" s="8"/>
      <c r="J73" s="18"/>
    </row>
    <row r="74" spans="1:10" ht="15.75" thickBot="1" x14ac:dyDescent="0.3">
      <c r="A74" s="63"/>
      <c r="B74" s="63"/>
      <c r="C74" s="63"/>
      <c r="D74" s="63"/>
      <c r="E74" s="63"/>
      <c r="F74" s="63"/>
      <c r="G74" s="63"/>
      <c r="H74" s="63"/>
      <c r="I74" s="63"/>
      <c r="J74" s="18"/>
    </row>
    <row r="75" spans="1:10" ht="15.75" thickTop="1" x14ac:dyDescent="0.25">
      <c r="A75" s="19" t="s">
        <v>122</v>
      </c>
      <c r="B75" s="18"/>
      <c r="C75" s="18"/>
      <c r="D75" s="18"/>
      <c r="E75" s="18"/>
      <c r="F75" s="18"/>
      <c r="G75" s="18"/>
      <c r="H75" s="18"/>
      <c r="I75" s="18"/>
      <c r="J75" s="18"/>
    </row>
    <row r="76" spans="1:10" x14ac:dyDescent="0.25">
      <c r="A76" t="s">
        <v>60</v>
      </c>
    </row>
    <row r="77" spans="1:10" x14ac:dyDescent="0.25">
      <c r="A77" t="s">
        <v>61</v>
      </c>
    </row>
    <row r="78" spans="1:10" x14ac:dyDescent="0.25">
      <c r="A78" t="s">
        <v>113</v>
      </c>
      <c r="B78" s="10"/>
      <c r="C78" s="10"/>
      <c r="D78" s="10"/>
      <c r="E78" s="10"/>
      <c r="F78" s="10"/>
    </row>
    <row r="79" spans="1:10" x14ac:dyDescent="0.25">
      <c r="A79" t="s">
        <v>128</v>
      </c>
    </row>
    <row r="80" spans="1:10" x14ac:dyDescent="0.25">
      <c r="A80" t="s">
        <v>123</v>
      </c>
    </row>
    <row r="81" spans="1:1" x14ac:dyDescent="0.25">
      <c r="A81" t="s">
        <v>121</v>
      </c>
    </row>
    <row r="82" spans="1:1" x14ac:dyDescent="0.25">
      <c r="A82" t="s">
        <v>130</v>
      </c>
    </row>
  </sheetData>
  <mergeCells count="16">
    <mergeCell ref="I4:I5"/>
    <mergeCell ref="C23:D23"/>
    <mergeCell ref="E23:F23"/>
    <mergeCell ref="C20:D20"/>
    <mergeCell ref="C21:D21"/>
    <mergeCell ref="C22:D22"/>
    <mergeCell ref="E19:F19"/>
    <mergeCell ref="E20:F20"/>
    <mergeCell ref="E21:F21"/>
    <mergeCell ref="E22:F22"/>
    <mergeCell ref="A2:G2"/>
    <mergeCell ref="A4:A5"/>
    <mergeCell ref="C5:D5"/>
    <mergeCell ref="C19:D19"/>
    <mergeCell ref="E5:F5"/>
    <mergeCell ref="C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zoomScale="75" zoomScaleNormal="75" workbookViewId="0">
      <selection activeCell="M24" sqref="M24"/>
    </sheetView>
  </sheetViews>
  <sheetFormatPr baseColWidth="10" defaultRowHeight="15" x14ac:dyDescent="0.25"/>
  <cols>
    <col min="1" max="1" width="55.140625" customWidth="1"/>
    <col min="2" max="2" width="18.5703125" bestFit="1" customWidth="1"/>
    <col min="3" max="4" width="16.5703125" customWidth="1"/>
    <col min="5" max="6" width="17.42578125" customWidth="1"/>
    <col min="7" max="7" width="18.5703125" customWidth="1"/>
    <col min="8" max="8" width="12.7109375" bestFit="1" customWidth="1"/>
    <col min="9" max="9" width="15.140625" bestFit="1" customWidth="1"/>
  </cols>
  <sheetData>
    <row r="2" spans="1:9" ht="15.75" x14ac:dyDescent="0.25">
      <c r="A2" s="42" t="s">
        <v>95</v>
      </c>
      <c r="B2" s="42"/>
      <c r="C2" s="42"/>
      <c r="D2" s="42"/>
      <c r="E2" s="42"/>
      <c r="F2" s="42"/>
      <c r="G2" s="42"/>
    </row>
    <row r="4" spans="1:9" x14ac:dyDescent="0.25">
      <c r="A4" s="43" t="s">
        <v>1</v>
      </c>
      <c r="B4" s="13" t="s">
        <v>2</v>
      </c>
      <c r="C4" s="46" t="s">
        <v>3</v>
      </c>
      <c r="D4" s="46"/>
      <c r="E4" s="46"/>
      <c r="F4" s="46"/>
      <c r="G4" s="46"/>
      <c r="H4" s="46"/>
      <c r="I4" s="43" t="s">
        <v>125</v>
      </c>
    </row>
    <row r="5" spans="1:9" ht="15.75" thickBot="1" x14ac:dyDescent="0.3">
      <c r="A5" s="44"/>
      <c r="B5" s="1" t="s">
        <v>4</v>
      </c>
      <c r="C5" s="45" t="s">
        <v>5</v>
      </c>
      <c r="D5" s="45"/>
      <c r="E5" s="45" t="s">
        <v>127</v>
      </c>
      <c r="F5" s="45"/>
      <c r="G5" s="1" t="s">
        <v>6</v>
      </c>
      <c r="H5" s="9" t="s">
        <v>126</v>
      </c>
      <c r="I5" s="44"/>
    </row>
    <row r="6" spans="1:9" ht="15.75" thickTop="1" x14ac:dyDescent="0.25">
      <c r="B6" t="s">
        <v>2</v>
      </c>
      <c r="C6" s="20" t="s">
        <v>118</v>
      </c>
      <c r="D6" s="20" t="s">
        <v>119</v>
      </c>
      <c r="E6" s="20">
        <v>1600</v>
      </c>
      <c r="F6" s="20" t="s">
        <v>120</v>
      </c>
      <c r="G6" s="20" t="s">
        <v>6</v>
      </c>
    </row>
    <row r="7" spans="1:9" x14ac:dyDescent="0.25">
      <c r="A7" s="2" t="s">
        <v>7</v>
      </c>
    </row>
    <row r="9" spans="1:9" x14ac:dyDescent="0.25">
      <c r="A9" t="s">
        <v>8</v>
      </c>
    </row>
    <row r="10" spans="1:9" x14ac:dyDescent="0.25">
      <c r="A10" s="3" t="s">
        <v>85</v>
      </c>
      <c r="B10" s="12">
        <f>+C10+E10</f>
        <v>97286.833333333314</v>
      </c>
      <c r="C10" s="12">
        <f>(+'I Trimestre'!C10+'II Trimestre'!C10)/2</f>
        <v>26250.166666666664</v>
      </c>
      <c r="D10" s="12">
        <f>(+'I Trimestre'!D10+'II Trimestre'!D10)/2</f>
        <v>4874.8333333333339</v>
      </c>
      <c r="E10" s="12">
        <f>(+'I Trimestre'!E10+'II Trimestre'!E10)/2</f>
        <v>71036.666666666657</v>
      </c>
      <c r="F10" s="16">
        <f>(+'I Trimestre'!F10+'II Trimestre'!F10)/2</f>
        <v>17643.833333333332</v>
      </c>
      <c r="G10" s="12">
        <f>(+'I Trimestre'!G10+'II Trimestre'!G10)/2</f>
        <v>4663.5</v>
      </c>
    </row>
    <row r="11" spans="1:9" x14ac:dyDescent="0.25">
      <c r="A11" s="15" t="s">
        <v>107</v>
      </c>
      <c r="B11" s="12">
        <f>+C11+E11</f>
        <v>93555.333333333328</v>
      </c>
      <c r="C11" s="12">
        <f>(+'I Trimestre'!C11+'II Trimestre'!C11)/2</f>
        <v>22518.666666666668</v>
      </c>
      <c r="D11" s="12">
        <f>(+'I Trimestre'!D11+'II Trimestre'!D11)/2</f>
        <v>4874.8333333333339</v>
      </c>
      <c r="E11" s="12">
        <f>(+'I Trimestre'!E11+'II Trimestre'!E11)/2</f>
        <v>71036.666666666657</v>
      </c>
      <c r="F11" s="16">
        <f>(+'I Trimestre'!F11+'II Trimestre'!F11)/2</f>
        <v>17643.833333333332</v>
      </c>
      <c r="G11" s="12">
        <f>(+'I Trimestre'!G11+'II Trimestre'!G11)/2</f>
        <v>4663.5</v>
      </c>
    </row>
    <row r="12" spans="1:9" x14ac:dyDescent="0.25">
      <c r="A12" s="3" t="s">
        <v>86</v>
      </c>
      <c r="B12" s="12">
        <f t="shared" ref="B12:B16" si="0">+C12+E12</f>
        <v>123531.33333333334</v>
      </c>
      <c r="C12" s="12">
        <f>(+'I Trimestre'!C12+'II Trimestre'!C12)/2</f>
        <v>33266.333333333336</v>
      </c>
      <c r="D12" s="12">
        <f>(+'I Trimestre'!D12+'II Trimestre'!D12)/2</f>
        <v>8556</v>
      </c>
      <c r="E12" s="12">
        <f>(+'I Trimestre'!E12+'II Trimestre'!E12)/2</f>
        <v>90265</v>
      </c>
      <c r="F12" s="16">
        <f>(+'I Trimestre'!F12+'II Trimestre'!F12)/2</f>
        <v>46865</v>
      </c>
      <c r="G12" s="12">
        <f>(+'I Trimestre'!G12+'II Trimestre'!G12)/2</f>
        <v>6917.1666666666661</v>
      </c>
    </row>
    <row r="13" spans="1:9" x14ac:dyDescent="0.25">
      <c r="A13" s="15" t="s">
        <v>107</v>
      </c>
      <c r="B13" s="12">
        <f t="shared" si="0"/>
        <v>117642</v>
      </c>
      <c r="C13" s="12">
        <f>(+'I Trimestre'!C13+'II Trimestre'!C13)/2</f>
        <v>27377</v>
      </c>
      <c r="D13" s="12">
        <f>(+'I Trimestre'!D13+'II Trimestre'!D13)/2</f>
        <v>8556</v>
      </c>
      <c r="E13" s="12">
        <f>(+'I Trimestre'!E13+'II Trimestre'!E13)/2</f>
        <v>90265</v>
      </c>
      <c r="F13" s="16">
        <f>(+'I Trimestre'!F13+'II Trimestre'!F13)/2</f>
        <v>46865</v>
      </c>
      <c r="G13" s="12">
        <f>(+'I Trimestre'!G13+'II Trimestre'!G13)/2</f>
        <v>6917.1666666666661</v>
      </c>
    </row>
    <row r="14" spans="1:9" x14ac:dyDescent="0.25">
      <c r="A14" s="3" t="s">
        <v>87</v>
      </c>
      <c r="B14" s="12">
        <f t="shared" si="0"/>
        <v>110808.49999999999</v>
      </c>
      <c r="C14" s="12">
        <f>(+'I Trimestre'!C14+'II Trimestre'!C14)/2</f>
        <v>27225.833333333332</v>
      </c>
      <c r="D14" s="12">
        <f>(+'I Trimestre'!D14+'II Trimestre'!D14)/2</f>
        <v>5302.333333333333</v>
      </c>
      <c r="E14" s="12">
        <f>(+'I Trimestre'!E14+'II Trimestre'!E14)/2</f>
        <v>83582.666666666657</v>
      </c>
      <c r="F14" s="12">
        <f>(+'I Trimestre'!F14+'II Trimestre'!F14)/2</f>
        <v>41351</v>
      </c>
      <c r="G14" s="12">
        <f>(+'I Trimestre'!G14+'II Trimestre'!G14)/2</f>
        <v>4078.833333333333</v>
      </c>
    </row>
    <row r="15" spans="1:9" x14ac:dyDescent="0.25">
      <c r="A15" s="15" t="s">
        <v>107</v>
      </c>
      <c r="B15" s="12">
        <f t="shared" si="0"/>
        <v>93569.166666666657</v>
      </c>
      <c r="C15" s="12">
        <f>(+'I Trimestre'!C15+'II Trimestre'!C15)/2</f>
        <v>22396.666666666664</v>
      </c>
      <c r="D15" s="12">
        <f>(+'I Trimestre'!D15+'II Trimestre'!D15)/2</f>
        <v>5302.333333333333</v>
      </c>
      <c r="E15" s="12">
        <f>(+'I Trimestre'!E15+'II Trimestre'!E15)/2</f>
        <v>71172.5</v>
      </c>
      <c r="F15" s="12">
        <f>(+'I Trimestre'!F15+'II Trimestre'!F15)/2</f>
        <v>41351</v>
      </c>
      <c r="G15" s="12">
        <f>(+'I Trimestre'!G15+'II Trimestre'!G15)/2</f>
        <v>4078.833333333333</v>
      </c>
    </row>
    <row r="16" spans="1:9" x14ac:dyDescent="0.25">
      <c r="A16" s="3" t="s">
        <v>12</v>
      </c>
      <c r="B16" s="12">
        <f t="shared" si="0"/>
        <v>131912.66666666666</v>
      </c>
      <c r="C16" s="4">
        <f>'II Trimestre'!C16</f>
        <v>37544.666666666664</v>
      </c>
      <c r="D16" s="4">
        <f>'II Trimestre'!D16</f>
        <v>8556</v>
      </c>
      <c r="E16" s="4">
        <f>'II Trimestre'!E16</f>
        <v>94368</v>
      </c>
      <c r="F16" s="12">
        <f>'II Trimestre'!F16</f>
        <v>48633.5</v>
      </c>
      <c r="G16" s="4">
        <f>'II Trimestre'!G16</f>
        <v>7051</v>
      </c>
    </row>
    <row r="17" spans="1:10" x14ac:dyDescent="0.25">
      <c r="B17" s="11"/>
      <c r="C17" s="11"/>
      <c r="D17" s="11"/>
      <c r="E17" s="11"/>
      <c r="F17" s="11"/>
      <c r="G17" s="11"/>
    </row>
    <row r="18" spans="1:10" x14ac:dyDescent="0.25">
      <c r="A18" s="6" t="s">
        <v>13</v>
      </c>
      <c r="B18" s="11"/>
      <c r="C18" s="11"/>
      <c r="D18" s="11"/>
      <c r="E18" s="11"/>
      <c r="F18" s="11"/>
      <c r="G18" s="11"/>
    </row>
    <row r="19" spans="1:10" x14ac:dyDescent="0.25">
      <c r="A19" s="3" t="s">
        <v>85</v>
      </c>
      <c r="B19" s="12">
        <f>SUM(C19:G19)</f>
        <v>3635194206.7000003</v>
      </c>
      <c r="C19" s="41">
        <f>+'I Trimestre'!C19+'II Trimestre'!C19</f>
        <v>1435001749</v>
      </c>
      <c r="D19" s="41"/>
      <c r="E19" s="41">
        <f>+'I Trimestre'!E19+'II Trimestre'!E19</f>
        <v>1718708157.8400002</v>
      </c>
      <c r="F19" s="41"/>
      <c r="G19" s="12">
        <f>+'I Trimestre'!G19+'II Trimestre'!G19</f>
        <v>481484299.86000001</v>
      </c>
      <c r="H19" s="12">
        <f>+'I Trimestre'!H19+'II Trimestre'!H19</f>
        <v>0</v>
      </c>
      <c r="I19" s="12">
        <f>+'I Trimestre'!I19+'II Trimestre'!I19</f>
        <v>0</v>
      </c>
    </row>
    <row r="20" spans="1:10" x14ac:dyDescent="0.25">
      <c r="A20" s="3" t="s">
        <v>86</v>
      </c>
      <c r="B20" s="12">
        <f>SUM(C20:I20)</f>
        <v>6483861861.54</v>
      </c>
      <c r="C20" s="41">
        <f>+'I Trimestre'!C20+'II Trimestre'!C20</f>
        <v>2380387720</v>
      </c>
      <c r="D20" s="41"/>
      <c r="E20" s="41">
        <f>+'I Trimestre'!E20+'II Trimestre'!E20</f>
        <v>3268716832</v>
      </c>
      <c r="F20" s="41"/>
      <c r="G20" s="12">
        <f>+'I Trimestre'!G20+'II Trimestre'!G20</f>
        <v>834757309.53999996</v>
      </c>
      <c r="H20" s="12">
        <f>+'I Trimestre'!H20+'II Trimestre'!H20</f>
        <v>0</v>
      </c>
      <c r="I20" s="12">
        <f>+'I Trimestre'!I20+'II Trimestre'!I20</f>
        <v>0</v>
      </c>
    </row>
    <row r="21" spans="1:10" x14ac:dyDescent="0.25">
      <c r="A21" s="3" t="s">
        <v>87</v>
      </c>
      <c r="B21" s="12">
        <f>SUM(C21:I21)</f>
        <v>4569092115.0200005</v>
      </c>
      <c r="C21" s="41">
        <f>+'I Trimestre'!C21+'II Trimestre'!C21</f>
        <v>1988538748</v>
      </c>
      <c r="D21" s="41"/>
      <c r="E21" s="41">
        <f>+'I Trimestre'!E21+'II Trimestre'!E21</f>
        <v>2128849380</v>
      </c>
      <c r="F21" s="41"/>
      <c r="G21" s="12">
        <f>+'I Trimestre'!G21+'II Trimestre'!G21</f>
        <v>348431320</v>
      </c>
      <c r="H21" s="12">
        <f>+'I Trimestre'!H21+'II Trimestre'!H21</f>
        <v>0</v>
      </c>
      <c r="I21" s="12">
        <f>+'I Trimestre'!I21+'II Trimestre'!I21</f>
        <v>103272667.02</v>
      </c>
    </row>
    <row r="22" spans="1:10" x14ac:dyDescent="0.25">
      <c r="A22" s="3" t="s">
        <v>12</v>
      </c>
      <c r="B22" s="12">
        <f t="shared" ref="B22:B23" si="1">SUM(C22:I22)</f>
        <v>13222919990.619999</v>
      </c>
      <c r="C22" s="49">
        <f>'II Trimestre'!C22:D22</f>
        <v>4760332360</v>
      </c>
      <c r="D22" s="49"/>
      <c r="E22" s="41">
        <f>'II Trimestre'!E22:F22</f>
        <v>6776922128</v>
      </c>
      <c r="F22" s="41"/>
      <c r="G22" s="12">
        <f>'II Trimestre'!G22</f>
        <v>1685665502.6199999</v>
      </c>
      <c r="H22" s="12">
        <f>'II Trimestre'!H22</f>
        <v>0</v>
      </c>
      <c r="I22" s="12">
        <f>'II Trimestre'!I22</f>
        <v>0</v>
      </c>
    </row>
    <row r="23" spans="1:10" x14ac:dyDescent="0.25">
      <c r="A23" s="56" t="s">
        <v>88</v>
      </c>
      <c r="B23" s="21">
        <f t="shared" si="1"/>
        <v>2477280700</v>
      </c>
      <c r="C23" s="66">
        <f>+'I Trimestre'!C23+'II Trimestre'!C23</f>
        <v>0</v>
      </c>
      <c r="D23" s="66"/>
      <c r="E23" s="66">
        <f>+'I Trimestre'!E23+'II Trimestre'!E23</f>
        <v>2128849380</v>
      </c>
      <c r="F23" s="66"/>
      <c r="G23" s="21">
        <f>+'I Trimestre'!G23+'II Trimestre'!G23</f>
        <v>348431320</v>
      </c>
      <c r="H23" s="21">
        <f>+'I Trimestre'!H23+'II Trimestre'!H23</f>
        <v>0</v>
      </c>
      <c r="I23" s="21">
        <f>+'I Trimestre'!I23+'II Trimestre'!I23</f>
        <v>0</v>
      </c>
      <c r="J23" s="18"/>
    </row>
    <row r="24" spans="1:10" x14ac:dyDescent="0.25">
      <c r="A24" s="18"/>
      <c r="B24" s="23"/>
      <c r="C24" s="23"/>
      <c r="D24" s="23"/>
      <c r="E24" s="23"/>
      <c r="F24" s="23"/>
      <c r="G24" s="23"/>
      <c r="H24" s="18"/>
      <c r="I24" s="18"/>
      <c r="J24" s="18"/>
    </row>
    <row r="25" spans="1:10" x14ac:dyDescent="0.25">
      <c r="A25" s="59" t="s">
        <v>15</v>
      </c>
      <c r="B25" s="23"/>
      <c r="C25" s="23"/>
      <c r="D25" s="23"/>
      <c r="E25" s="23"/>
      <c r="F25" s="23"/>
      <c r="G25" s="23"/>
      <c r="H25" s="23"/>
      <c r="I25" s="23"/>
      <c r="J25" s="18"/>
    </row>
    <row r="26" spans="1:10" x14ac:dyDescent="0.25">
      <c r="A26" s="56" t="s">
        <v>86</v>
      </c>
      <c r="B26" s="23">
        <f>+'I Trimestre'!B26+'II Trimestre'!B26</f>
        <v>6483861861.54</v>
      </c>
      <c r="C26" s="23"/>
      <c r="D26" s="23"/>
      <c r="E26" s="23"/>
      <c r="F26" s="23"/>
      <c r="G26" s="23"/>
      <c r="H26" s="23"/>
      <c r="I26" s="23"/>
      <c r="J26" s="18"/>
    </row>
    <row r="27" spans="1:10" x14ac:dyDescent="0.25">
      <c r="A27" s="56" t="s">
        <v>87</v>
      </c>
      <c r="B27" s="23">
        <f>+'I Trimestre'!B27+'II Trimestre'!B27</f>
        <v>4713774302</v>
      </c>
      <c r="C27" s="23"/>
      <c r="D27" s="23"/>
      <c r="E27" s="23"/>
      <c r="F27" s="23"/>
      <c r="G27" s="23"/>
      <c r="H27" s="23"/>
      <c r="I27" s="23"/>
      <c r="J27" s="18"/>
    </row>
    <row r="28" spans="1:10" x14ac:dyDescent="0.25">
      <c r="A28" s="18"/>
      <c r="B28" s="18"/>
      <c r="C28" s="18"/>
      <c r="D28" s="18"/>
      <c r="E28" s="18"/>
      <c r="F28" s="18"/>
      <c r="G28" s="18"/>
      <c r="H28" s="18"/>
      <c r="I28" s="18"/>
      <c r="J28" s="18"/>
    </row>
    <row r="29" spans="1:10" x14ac:dyDescent="0.25">
      <c r="A29" s="18" t="s">
        <v>16</v>
      </c>
      <c r="B29" s="18"/>
      <c r="C29" s="18"/>
      <c r="D29" s="18"/>
      <c r="E29" s="18"/>
      <c r="F29" s="18"/>
      <c r="G29" s="18"/>
      <c r="H29" s="18"/>
      <c r="I29" s="18"/>
      <c r="J29" s="18"/>
    </row>
    <row r="30" spans="1:10" x14ac:dyDescent="0.25">
      <c r="A30" s="56" t="s">
        <v>89</v>
      </c>
      <c r="B30" s="60">
        <v>1.39</v>
      </c>
      <c r="C30" s="60">
        <v>1.39</v>
      </c>
      <c r="D30" s="60">
        <v>1.39</v>
      </c>
      <c r="E30" s="60">
        <v>1.39</v>
      </c>
      <c r="F30" s="60">
        <v>1.39</v>
      </c>
      <c r="G30" s="60">
        <v>1.39</v>
      </c>
      <c r="H30" s="60"/>
      <c r="I30" s="60"/>
      <c r="J30" s="18"/>
    </row>
    <row r="31" spans="1:10" x14ac:dyDescent="0.25">
      <c r="A31" s="56" t="s">
        <v>90</v>
      </c>
      <c r="B31" s="60">
        <v>1.45</v>
      </c>
      <c r="C31" s="60">
        <v>1.45</v>
      </c>
      <c r="D31" s="60">
        <v>1.45</v>
      </c>
      <c r="E31" s="60">
        <v>1.45</v>
      </c>
      <c r="F31" s="60">
        <v>1.45</v>
      </c>
      <c r="G31" s="60">
        <v>1.45</v>
      </c>
      <c r="H31" s="60"/>
      <c r="I31" s="60"/>
      <c r="J31" s="18"/>
    </row>
    <row r="32" spans="1:10" x14ac:dyDescent="0.25">
      <c r="A32" s="56" t="s">
        <v>19</v>
      </c>
      <c r="B32" s="5">
        <v>73492</v>
      </c>
      <c r="C32" s="5">
        <v>73492</v>
      </c>
      <c r="D32" s="5">
        <v>73492</v>
      </c>
      <c r="E32" s="5">
        <v>73492</v>
      </c>
      <c r="F32" s="5">
        <v>73492</v>
      </c>
      <c r="G32" s="5">
        <v>73492</v>
      </c>
      <c r="H32" s="5"/>
      <c r="I32" s="5"/>
      <c r="J32" s="18"/>
    </row>
    <row r="33" spans="1:10" x14ac:dyDescent="0.25">
      <c r="A33" s="18"/>
      <c r="B33" s="18"/>
      <c r="C33" s="18"/>
      <c r="D33" s="18"/>
      <c r="E33" s="18"/>
      <c r="F33" s="18"/>
      <c r="G33" s="18"/>
      <c r="H33" s="18"/>
      <c r="I33" s="18"/>
      <c r="J33" s="18"/>
    </row>
    <row r="34" spans="1:10" x14ac:dyDescent="0.25">
      <c r="A34" s="61" t="s">
        <v>20</v>
      </c>
      <c r="B34" s="18"/>
      <c r="C34" s="18"/>
      <c r="D34" s="18"/>
      <c r="E34" s="18"/>
      <c r="F34" s="18"/>
      <c r="G34" s="18"/>
      <c r="H34" s="18"/>
      <c r="I34" s="18"/>
      <c r="J34" s="18"/>
    </row>
    <row r="35" spans="1:10" x14ac:dyDescent="0.25">
      <c r="A35" s="18" t="s">
        <v>91</v>
      </c>
      <c r="B35" s="5">
        <f>B19/B30</f>
        <v>2615247630.7194247</v>
      </c>
      <c r="C35" s="5">
        <f t="shared" ref="C35:G35" si="2">C19/C30</f>
        <v>1032375358.9928058</v>
      </c>
      <c r="D35" s="5"/>
      <c r="E35" s="5">
        <f t="shared" si="2"/>
        <v>1236480689.0935254</v>
      </c>
      <c r="F35" s="5"/>
      <c r="G35" s="5">
        <f t="shared" si="2"/>
        <v>346391582.63309354</v>
      </c>
      <c r="H35" s="5"/>
      <c r="I35" s="5"/>
      <c r="J35" s="18"/>
    </row>
    <row r="36" spans="1:10" x14ac:dyDescent="0.25">
      <c r="A36" s="18" t="s">
        <v>92</v>
      </c>
      <c r="B36" s="5">
        <f>B21/B31</f>
        <v>3151098010.3586211</v>
      </c>
      <c r="C36" s="5">
        <f t="shared" ref="C36:G36" si="3">C21/C31</f>
        <v>1371406033.1034484</v>
      </c>
      <c r="D36" s="5"/>
      <c r="E36" s="5">
        <f t="shared" si="3"/>
        <v>1468171986.2068965</v>
      </c>
      <c r="F36" s="5"/>
      <c r="G36" s="5">
        <f t="shared" si="3"/>
        <v>240297462.06896552</v>
      </c>
      <c r="H36" s="5"/>
      <c r="I36" s="5"/>
      <c r="J36" s="18"/>
    </row>
    <row r="37" spans="1:10" x14ac:dyDescent="0.25">
      <c r="A37" s="18" t="s">
        <v>93</v>
      </c>
      <c r="B37" s="5">
        <f>B35/B10</f>
        <v>26881.825023113015</v>
      </c>
      <c r="C37" s="5">
        <f>C35/(C10+D10)</f>
        <v>33168.686232700587</v>
      </c>
      <c r="D37" s="5"/>
      <c r="E37" s="5">
        <f>E35/(E10+F10)</f>
        <v>13943.09559704248</v>
      </c>
      <c r="F37" s="5"/>
      <c r="G37" s="5">
        <f>G35/G10</f>
        <v>74277.170072497815</v>
      </c>
      <c r="H37" s="5"/>
      <c r="I37" s="5"/>
      <c r="J37" s="18"/>
    </row>
    <row r="38" spans="1:10" x14ac:dyDescent="0.25">
      <c r="A38" s="18" t="s">
        <v>94</v>
      </c>
      <c r="B38" s="5">
        <f>B36/B14</f>
        <v>28437.33116465453</v>
      </c>
      <c r="C38" s="5">
        <f>C36/(C14+D14)</f>
        <v>42160.569550598157</v>
      </c>
      <c r="D38" s="5"/>
      <c r="E38" s="5">
        <f>E36/(E14+F14)</f>
        <v>11751.612078464812</v>
      </c>
      <c r="F38" s="5"/>
      <c r="G38" s="62">
        <f>G36/G14</f>
        <v>58913.282900085534</v>
      </c>
      <c r="H38" s="62"/>
      <c r="I38" s="62"/>
      <c r="J38" s="18"/>
    </row>
    <row r="39" spans="1:10" x14ac:dyDescent="0.25">
      <c r="A39" s="18"/>
      <c r="B39" s="18"/>
      <c r="C39" s="18"/>
      <c r="D39" s="18"/>
      <c r="E39" s="18"/>
      <c r="F39" s="18"/>
      <c r="G39" s="18"/>
      <c r="H39" s="18"/>
      <c r="I39" s="18"/>
      <c r="J39" s="18"/>
    </row>
    <row r="40" spans="1:10" x14ac:dyDescent="0.25">
      <c r="A40" s="61" t="s">
        <v>25</v>
      </c>
      <c r="B40" s="18"/>
      <c r="C40" s="18"/>
      <c r="D40" s="18"/>
      <c r="E40" s="18"/>
      <c r="F40" s="18"/>
      <c r="G40" s="18"/>
      <c r="H40" s="18"/>
      <c r="I40" s="18"/>
      <c r="J40" s="18"/>
    </row>
    <row r="41" spans="1:10" x14ac:dyDescent="0.25">
      <c r="A41" s="18"/>
      <c r="B41" s="18"/>
      <c r="C41" s="18"/>
      <c r="D41" s="18"/>
      <c r="E41" s="18"/>
      <c r="F41" s="18"/>
      <c r="G41" s="18"/>
      <c r="H41" s="18"/>
      <c r="I41" s="18"/>
      <c r="J41" s="18"/>
    </row>
    <row r="42" spans="1:10" x14ac:dyDescent="0.25">
      <c r="A42" s="18" t="s">
        <v>26</v>
      </c>
      <c r="B42" s="18"/>
      <c r="C42" s="18"/>
      <c r="D42" s="18"/>
      <c r="E42" s="18"/>
      <c r="F42" s="18"/>
      <c r="G42" s="18"/>
      <c r="H42" s="18"/>
      <c r="I42" s="18"/>
      <c r="J42" s="18"/>
    </row>
    <row r="43" spans="1:10" x14ac:dyDescent="0.25">
      <c r="A43" s="18" t="s">
        <v>27</v>
      </c>
      <c r="B43" s="8">
        <f>(B13/B32)*100</f>
        <v>160.07456593914984</v>
      </c>
      <c r="C43" s="8">
        <f t="shared" ref="C43:G43" si="4">(C13/C32)*100</f>
        <v>37.251673651553915</v>
      </c>
      <c r="D43" s="8">
        <f t="shared" si="4"/>
        <v>11.64208349208077</v>
      </c>
      <c r="E43" s="8">
        <f t="shared" si="4"/>
        <v>122.82289228759593</v>
      </c>
      <c r="F43" s="8">
        <f t="shared" si="4"/>
        <v>63.7688455886355</v>
      </c>
      <c r="G43" s="8">
        <f t="shared" si="4"/>
        <v>9.4121355612402251</v>
      </c>
      <c r="H43" s="8"/>
      <c r="I43" s="8"/>
      <c r="J43" s="18"/>
    </row>
    <row r="44" spans="1:10" x14ac:dyDescent="0.25">
      <c r="A44" s="18" t="s">
        <v>28</v>
      </c>
      <c r="B44" s="8">
        <f>(B15/B32)*100</f>
        <v>127.31884649576371</v>
      </c>
      <c r="C44" s="8">
        <f t="shared" ref="C44:G44" si="5">(C15/C32)*100</f>
        <v>30.474972332589484</v>
      </c>
      <c r="D44" s="8">
        <f t="shared" si="5"/>
        <v>7.2148442460857414</v>
      </c>
      <c r="E44" s="8">
        <f t="shared" si="5"/>
        <v>96.84387416317422</v>
      </c>
      <c r="F44" s="8">
        <f t="shared" si="5"/>
        <v>56.265988134762971</v>
      </c>
      <c r="G44" s="8">
        <f t="shared" si="5"/>
        <v>5.5500371922567533</v>
      </c>
      <c r="H44" s="8"/>
      <c r="I44" s="8"/>
      <c r="J44" s="18"/>
    </row>
    <row r="45" spans="1:10" x14ac:dyDescent="0.25">
      <c r="A45" s="18"/>
      <c r="B45" s="18"/>
      <c r="C45" s="18"/>
      <c r="D45" s="18"/>
      <c r="E45" s="18"/>
      <c r="F45" s="18"/>
      <c r="G45" s="18"/>
      <c r="H45" s="18"/>
      <c r="I45" s="18"/>
      <c r="J45" s="18"/>
    </row>
    <row r="46" spans="1:10" x14ac:dyDescent="0.25">
      <c r="A46" s="18" t="s">
        <v>29</v>
      </c>
      <c r="B46" s="18"/>
      <c r="C46" s="18"/>
      <c r="D46" s="18"/>
      <c r="E46" s="18"/>
      <c r="F46" s="18"/>
      <c r="G46" s="18"/>
      <c r="H46" s="18"/>
      <c r="I46" s="18"/>
      <c r="J46" s="18"/>
    </row>
    <row r="47" spans="1:10" x14ac:dyDescent="0.25">
      <c r="A47" s="18" t="s">
        <v>30</v>
      </c>
      <c r="B47" s="8">
        <f>B14/B12*100</f>
        <v>89.700723703028089</v>
      </c>
      <c r="C47" s="8">
        <f t="shared" ref="C47:G47" si="6">C14/C12*100</f>
        <v>81.842002424873982</v>
      </c>
      <c r="D47" s="8">
        <f t="shared" si="6"/>
        <v>61.972105345176878</v>
      </c>
      <c r="E47" s="8">
        <f t="shared" si="6"/>
        <v>92.596982957587841</v>
      </c>
      <c r="F47" s="8">
        <f t="shared" si="6"/>
        <v>88.234289981862801</v>
      </c>
      <c r="G47" s="8">
        <f t="shared" si="6"/>
        <v>58.966821675541524</v>
      </c>
      <c r="H47" s="8"/>
      <c r="I47" s="8"/>
      <c r="J47" s="18"/>
    </row>
    <row r="48" spans="1:10" x14ac:dyDescent="0.25">
      <c r="A48" s="18" t="s">
        <v>31</v>
      </c>
      <c r="B48" s="8">
        <f>B21/B20*100</f>
        <v>70.468683827492626</v>
      </c>
      <c r="C48" s="8">
        <f>C21/C20*100</f>
        <v>83.538439191746463</v>
      </c>
      <c r="D48" s="8"/>
      <c r="E48" s="8">
        <f>E21/E20*100</f>
        <v>65.127984142249488</v>
      </c>
      <c r="F48" s="8"/>
      <c r="G48" s="8">
        <f>G21/G20*100</f>
        <v>41.740433538941517</v>
      </c>
      <c r="H48" s="8"/>
      <c r="I48" s="8"/>
      <c r="J48" s="18"/>
    </row>
    <row r="49" spans="1:10" x14ac:dyDescent="0.25">
      <c r="A49" s="18" t="s">
        <v>32</v>
      </c>
      <c r="B49" s="8">
        <f>AVERAGE(B47:B48)</f>
        <v>80.084703765260357</v>
      </c>
      <c r="C49" s="8">
        <f>(C47+D47+C48)/3</f>
        <v>75.784182320599101</v>
      </c>
      <c r="D49" s="8"/>
      <c r="E49" s="8">
        <f>(E47+F47+E48)/3</f>
        <v>81.986419027233367</v>
      </c>
      <c r="F49" s="8"/>
      <c r="G49" s="8">
        <f t="shared" ref="G49" si="7">AVERAGE(G47:G48)</f>
        <v>50.353627607241521</v>
      </c>
      <c r="H49" s="8"/>
      <c r="I49" s="8"/>
      <c r="J49" s="18"/>
    </row>
    <row r="50" spans="1:10" x14ac:dyDescent="0.25">
      <c r="A50" s="18"/>
      <c r="B50" s="8"/>
      <c r="C50" s="8"/>
      <c r="D50" s="8"/>
      <c r="E50" s="8"/>
      <c r="F50" s="8"/>
      <c r="G50" s="8"/>
      <c r="H50" s="8"/>
      <c r="I50" s="8"/>
      <c r="J50" s="18"/>
    </row>
    <row r="51" spans="1:10" x14ac:dyDescent="0.25">
      <c r="A51" s="18" t="s">
        <v>33</v>
      </c>
      <c r="B51" s="18"/>
      <c r="C51" s="18"/>
      <c r="D51" s="18"/>
      <c r="E51" s="18"/>
      <c r="F51" s="18"/>
      <c r="G51" s="18"/>
      <c r="H51" s="18"/>
      <c r="I51" s="18"/>
      <c r="J51" s="18"/>
    </row>
    <row r="52" spans="1:10" x14ac:dyDescent="0.25">
      <c r="A52" s="18" t="s">
        <v>34</v>
      </c>
      <c r="B52" s="8">
        <f>((B14/(B16))*100)</f>
        <v>84.001410023803629</v>
      </c>
      <c r="C52" s="8">
        <f t="shared" ref="C52:G52" si="8">((C14/(C16))*100)</f>
        <v>72.515847790187692</v>
      </c>
      <c r="D52" s="8">
        <f t="shared" si="8"/>
        <v>61.972105345176878</v>
      </c>
      <c r="E52" s="8">
        <f t="shared" si="8"/>
        <v>88.570984514524682</v>
      </c>
      <c r="F52" s="8">
        <f t="shared" si="8"/>
        <v>85.025753852796939</v>
      </c>
      <c r="G52" s="8">
        <f t="shared" si="8"/>
        <v>57.847586630737958</v>
      </c>
      <c r="H52" s="8"/>
      <c r="I52" s="8"/>
      <c r="J52" s="18"/>
    </row>
    <row r="53" spans="1:10" x14ac:dyDescent="0.25">
      <c r="A53" s="18" t="s">
        <v>35</v>
      </c>
      <c r="B53" s="8">
        <f>B21/B22*100</f>
        <v>34.55433533789207</v>
      </c>
      <c r="C53" s="8">
        <f>C21/C22*100</f>
        <v>41.773107371855858</v>
      </c>
      <c r="D53" s="8"/>
      <c r="E53" s="8">
        <f>E21/E22*100</f>
        <v>31.41321885940372</v>
      </c>
      <c r="F53" s="8"/>
      <c r="G53" s="8">
        <f>G21/G22*100</f>
        <v>20.670252755273179</v>
      </c>
      <c r="H53" s="8"/>
      <c r="I53" s="8"/>
      <c r="J53" s="18"/>
    </row>
    <row r="54" spans="1:10" x14ac:dyDescent="0.25">
      <c r="A54" s="18" t="s">
        <v>36</v>
      </c>
      <c r="B54" s="8">
        <f>(B52+B53)/2</f>
        <v>59.27787268084785</v>
      </c>
      <c r="C54" s="8">
        <f>(C52+D52+C53)/3</f>
        <v>58.753686835740133</v>
      </c>
      <c r="D54" s="8"/>
      <c r="E54" s="8">
        <f>(E52+F52+E53)/3</f>
        <v>68.336652408908449</v>
      </c>
      <c r="F54" s="8"/>
      <c r="G54" s="8">
        <f t="shared" ref="G54" si="9">(G52+G53)/2</f>
        <v>39.258919693005566</v>
      </c>
      <c r="H54" s="8"/>
      <c r="I54" s="8"/>
      <c r="J54" s="18"/>
    </row>
    <row r="55" spans="1:10" x14ac:dyDescent="0.25">
      <c r="A55" s="18"/>
      <c r="B55" s="8"/>
      <c r="C55" s="8"/>
      <c r="D55" s="8"/>
      <c r="E55" s="8"/>
      <c r="F55" s="8"/>
      <c r="G55" s="8"/>
      <c r="H55" s="8"/>
      <c r="I55" s="8"/>
      <c r="J55" s="18"/>
    </row>
    <row r="56" spans="1:10" x14ac:dyDescent="0.25">
      <c r="A56" s="18" t="s">
        <v>110</v>
      </c>
      <c r="B56" s="18"/>
      <c r="C56" s="18"/>
      <c r="D56" s="18"/>
      <c r="E56" s="18"/>
      <c r="F56" s="18"/>
      <c r="G56" s="18"/>
      <c r="H56" s="18"/>
      <c r="I56" s="18"/>
      <c r="J56" s="18"/>
    </row>
    <row r="57" spans="1:10" x14ac:dyDescent="0.25">
      <c r="A57" s="18" t="s">
        <v>37</v>
      </c>
      <c r="B57" s="8" t="s">
        <v>138</v>
      </c>
      <c r="C57" s="8" t="s">
        <v>138</v>
      </c>
      <c r="D57" s="8" t="s">
        <v>138</v>
      </c>
      <c r="E57" s="8" t="s">
        <v>138</v>
      </c>
      <c r="F57" s="8" t="s">
        <v>138</v>
      </c>
      <c r="G57" s="8" t="s">
        <v>138</v>
      </c>
      <c r="H57" s="8"/>
      <c r="I57" s="8"/>
      <c r="J57" s="18"/>
    </row>
    <row r="58" spans="1:10" x14ac:dyDescent="0.25">
      <c r="A58" s="18"/>
      <c r="B58" s="18"/>
      <c r="C58" s="18"/>
      <c r="D58" s="18"/>
      <c r="E58" s="18"/>
      <c r="F58" s="18"/>
      <c r="G58" s="18"/>
      <c r="H58" s="18"/>
      <c r="I58" s="18"/>
      <c r="J58" s="18"/>
    </row>
    <row r="59" spans="1:10" x14ac:dyDescent="0.25">
      <c r="A59" s="18" t="s">
        <v>38</v>
      </c>
      <c r="B59" s="18"/>
      <c r="C59" s="18"/>
      <c r="D59" s="18"/>
      <c r="E59" s="18"/>
      <c r="F59" s="18"/>
      <c r="G59" s="18"/>
      <c r="H59" s="18"/>
      <c r="I59" s="18"/>
      <c r="J59" s="18"/>
    </row>
    <row r="60" spans="1:10" x14ac:dyDescent="0.25">
      <c r="A60" s="18" t="s">
        <v>39</v>
      </c>
      <c r="B60" s="8">
        <f>((B14/B10)-1)*100</f>
        <v>13.898763279032277</v>
      </c>
      <c r="C60" s="8">
        <f t="shared" ref="C60:G60" si="10">((C14/C10)-1)*100</f>
        <v>3.7168017980838242</v>
      </c>
      <c r="D60" s="8">
        <f t="shared" si="10"/>
        <v>8.7695305822421012</v>
      </c>
      <c r="E60" s="8">
        <f t="shared" si="10"/>
        <v>17.661301675191222</v>
      </c>
      <c r="F60" s="8">
        <f t="shared" si="10"/>
        <v>134.36517007830878</v>
      </c>
      <c r="G60" s="8">
        <f t="shared" si="10"/>
        <v>-12.53707873199672</v>
      </c>
      <c r="H60" s="8"/>
      <c r="I60" s="8"/>
      <c r="J60" s="18"/>
    </row>
    <row r="61" spans="1:10" x14ac:dyDescent="0.25">
      <c r="A61" s="18" t="s">
        <v>40</v>
      </c>
      <c r="B61" s="8">
        <f>((B36/B35)-1)*100</f>
        <v>20.489470035072355</v>
      </c>
      <c r="C61" s="8">
        <f t="shared" ref="C61:G61" si="11">((C36/C35)-1)*100</f>
        <v>32.839864992651883</v>
      </c>
      <c r="D61" s="8"/>
      <c r="E61" s="8">
        <f t="shared" si="11"/>
        <v>18.737963249812339</v>
      </c>
      <c r="F61" s="8"/>
      <c r="G61" s="8">
        <f t="shared" si="11"/>
        <v>-30.628377213341672</v>
      </c>
      <c r="H61" s="8"/>
      <c r="I61" s="8"/>
      <c r="J61" s="18"/>
    </row>
    <row r="62" spans="1:10" x14ac:dyDescent="0.25">
      <c r="A62" s="18" t="s">
        <v>41</v>
      </c>
      <c r="B62" s="8">
        <f>((B38/B37)-1)*100</f>
        <v>5.7864603322285157</v>
      </c>
      <c r="C62" s="8">
        <f t="shared" ref="C62:G62" si="12">((C38/C37)-1)*100</f>
        <v>27.109555243802763</v>
      </c>
      <c r="D62" s="8"/>
      <c r="E62" s="8">
        <f t="shared" si="12"/>
        <v>-15.717338401111668</v>
      </c>
      <c r="F62" s="8"/>
      <c r="G62" s="8">
        <f t="shared" si="12"/>
        <v>-20.684534908123776</v>
      </c>
      <c r="H62" s="8"/>
      <c r="I62" s="8"/>
      <c r="J62" s="18"/>
    </row>
    <row r="63" spans="1:10" x14ac:dyDescent="0.25">
      <c r="A63" s="18"/>
      <c r="B63" s="8"/>
      <c r="C63" s="8"/>
      <c r="D63" s="8"/>
      <c r="E63" s="8"/>
      <c r="F63" s="8"/>
      <c r="G63" s="8"/>
      <c r="H63" s="8"/>
      <c r="I63" s="8"/>
      <c r="J63" s="18"/>
    </row>
    <row r="64" spans="1:10" x14ac:dyDescent="0.25">
      <c r="A64" s="18" t="s">
        <v>42</v>
      </c>
      <c r="B64" s="18"/>
      <c r="C64" s="18"/>
      <c r="D64" s="18"/>
      <c r="E64" s="18"/>
      <c r="F64" s="18"/>
      <c r="G64" s="18"/>
      <c r="H64" s="18"/>
      <c r="I64" s="18"/>
      <c r="J64" s="18"/>
    </row>
    <row r="65" spans="1:10" x14ac:dyDescent="0.25">
      <c r="A65" s="18" t="s">
        <v>43</v>
      </c>
      <c r="B65" s="5">
        <f>B20/(B12*6)</f>
        <v>8747.9315120320352</v>
      </c>
      <c r="C65" s="5">
        <f>C20/((C12+D12)*6)</f>
        <v>9486.1107701626715</v>
      </c>
      <c r="D65" s="5"/>
      <c r="E65" s="5">
        <f t="shared" ref="E65" si="13">E20/((E12+F12)*6)</f>
        <v>3972.771375094193</v>
      </c>
      <c r="F65" s="5"/>
      <c r="G65" s="5">
        <f>G20/((G12)*6)</f>
        <v>20113.18</v>
      </c>
      <c r="H65" s="5"/>
      <c r="I65" s="5"/>
      <c r="J65" s="18"/>
    </row>
    <row r="66" spans="1:10" x14ac:dyDescent="0.25">
      <c r="A66" s="18" t="s">
        <v>44</v>
      </c>
      <c r="B66" s="5">
        <f>B21/(B14*6)</f>
        <v>6872.355031458178</v>
      </c>
      <c r="C66" s="5">
        <f>C21/((C14+D14)*6)</f>
        <v>10188.804308061219</v>
      </c>
      <c r="D66" s="5"/>
      <c r="E66" s="5">
        <f t="shared" ref="E66" si="14">E21/((E14+F14)*6)</f>
        <v>2839.9729189623295</v>
      </c>
      <c r="F66" s="5"/>
      <c r="G66" s="5">
        <f>G21/((G14)*6)</f>
        <v>14237.376700854002</v>
      </c>
      <c r="H66" s="5"/>
      <c r="I66" s="5"/>
      <c r="J66" s="18"/>
    </row>
    <row r="67" spans="1:10" x14ac:dyDescent="0.25">
      <c r="A67" s="18" t="s">
        <v>45</v>
      </c>
      <c r="B67" s="8">
        <f>(B65/B66)*B49</f>
        <v>101.9411105062224</v>
      </c>
      <c r="C67" s="8">
        <f>(C65/C66)*C49</f>
        <v>70.557557725456235</v>
      </c>
      <c r="D67" s="8"/>
      <c r="E67" s="8">
        <f>(E65/E66)*E49</f>
        <v>114.68887484211641</v>
      </c>
      <c r="F67" s="8"/>
      <c r="G67" s="8">
        <f>(G65/G66)*G49</f>
        <v>71.134703885208623</v>
      </c>
      <c r="H67" s="8"/>
      <c r="I67" s="8"/>
      <c r="J67" s="18"/>
    </row>
    <row r="68" spans="1:10" x14ac:dyDescent="0.25">
      <c r="A68" s="18" t="s">
        <v>111</v>
      </c>
      <c r="B68" s="17">
        <f>B20/B12</f>
        <v>52487.589072192204</v>
      </c>
      <c r="C68" s="17">
        <f>C20/(C12+D12)</f>
        <v>56916.664620976029</v>
      </c>
      <c r="D68" s="17"/>
      <c r="E68" s="17">
        <f t="shared" ref="E68" si="15">E20/(E12+F12)</f>
        <v>23836.628250565158</v>
      </c>
      <c r="F68" s="17"/>
      <c r="G68" s="17">
        <f>G20/(G12)</f>
        <v>120679.08</v>
      </c>
      <c r="H68" s="17"/>
      <c r="I68" s="17"/>
      <c r="J68" s="18"/>
    </row>
    <row r="69" spans="1:10" x14ac:dyDescent="0.25">
      <c r="A69" s="18" t="s">
        <v>112</v>
      </c>
      <c r="B69" s="17">
        <f>B21/B14</f>
        <v>41234.13018874907</v>
      </c>
      <c r="C69" s="17">
        <f>C21/(C14+D14)</f>
        <v>61132.82584836732</v>
      </c>
      <c r="D69" s="17"/>
      <c r="E69" s="17">
        <f t="shared" ref="E69" si="16">E21/(E14+F14)</f>
        <v>17039.837513773979</v>
      </c>
      <c r="F69" s="17"/>
      <c r="G69" s="17">
        <f>G21/(G14)</f>
        <v>85424.260205124025</v>
      </c>
      <c r="H69" s="17"/>
      <c r="I69" s="17"/>
      <c r="J69" s="18"/>
    </row>
    <row r="70" spans="1:10" x14ac:dyDescent="0.25">
      <c r="A70" s="18"/>
      <c r="B70" s="8"/>
      <c r="C70" s="8"/>
      <c r="D70" s="8"/>
      <c r="E70" s="8"/>
      <c r="F70" s="8"/>
      <c r="G70" s="8"/>
      <c r="H70" s="8"/>
      <c r="I70" s="8"/>
      <c r="J70" s="18"/>
    </row>
    <row r="71" spans="1:10" x14ac:dyDescent="0.25">
      <c r="A71" s="18" t="s">
        <v>46</v>
      </c>
      <c r="B71" s="8"/>
      <c r="C71" s="8"/>
      <c r="D71" s="8"/>
      <c r="E71" s="8"/>
      <c r="F71" s="8"/>
      <c r="G71" s="8"/>
      <c r="H71" s="8"/>
      <c r="I71" s="8"/>
      <c r="J71" s="18"/>
    </row>
    <row r="72" spans="1:10" x14ac:dyDescent="0.25">
      <c r="A72" s="18" t="s">
        <v>47</v>
      </c>
      <c r="B72" s="8">
        <f>(B27/B26)*100</f>
        <v>72.700103775505454</v>
      </c>
      <c r="C72" s="8"/>
      <c r="D72" s="8"/>
      <c r="E72" s="8"/>
      <c r="F72" s="8"/>
      <c r="G72" s="8"/>
      <c r="H72" s="8"/>
      <c r="I72" s="8"/>
      <c r="J72" s="18"/>
    </row>
    <row r="73" spans="1:10" x14ac:dyDescent="0.25">
      <c r="A73" s="18" t="s">
        <v>48</v>
      </c>
      <c r="B73" s="8">
        <f>(B21/B27)*100</f>
        <v>96.930650945281528</v>
      </c>
      <c r="C73" s="8"/>
      <c r="D73" s="8"/>
      <c r="E73" s="8"/>
      <c r="F73" s="8"/>
      <c r="G73" s="8"/>
      <c r="H73" s="8"/>
      <c r="I73" s="8"/>
      <c r="J73" s="18"/>
    </row>
    <row r="74" spans="1:10" ht="15.75" thickBot="1" x14ac:dyDescent="0.3">
      <c r="A74" s="63"/>
      <c r="B74" s="63"/>
      <c r="C74" s="63"/>
      <c r="D74" s="63"/>
      <c r="E74" s="63"/>
      <c r="F74" s="63"/>
      <c r="G74" s="63"/>
      <c r="H74" s="63"/>
      <c r="I74" s="63"/>
      <c r="J74" s="18"/>
    </row>
    <row r="75" spans="1:10" ht="15.75" thickTop="1" x14ac:dyDescent="0.25">
      <c r="A75" s="19" t="s">
        <v>122</v>
      </c>
      <c r="B75" s="18"/>
      <c r="C75" s="18"/>
      <c r="D75" s="18"/>
      <c r="E75" s="18"/>
      <c r="F75" s="18"/>
      <c r="G75" s="18"/>
      <c r="H75" s="18"/>
      <c r="I75" s="18"/>
      <c r="J75" s="18"/>
    </row>
    <row r="76" spans="1:10" x14ac:dyDescent="0.25">
      <c r="A76" s="18" t="s">
        <v>60</v>
      </c>
      <c r="B76" s="18"/>
      <c r="C76" s="18"/>
      <c r="D76" s="18"/>
      <c r="E76" s="18"/>
      <c r="F76" s="18"/>
      <c r="G76" s="18"/>
      <c r="H76" s="18"/>
      <c r="I76" s="18"/>
      <c r="J76" s="18"/>
    </row>
    <row r="77" spans="1:10" x14ac:dyDescent="0.25">
      <c r="A77" s="18" t="s">
        <v>61</v>
      </c>
      <c r="B77" s="18"/>
      <c r="C77" s="18"/>
      <c r="D77" s="18"/>
      <c r="E77" s="18"/>
      <c r="F77" s="18"/>
      <c r="G77" s="18"/>
      <c r="H77" s="18"/>
      <c r="I77" s="18"/>
      <c r="J77" s="18"/>
    </row>
    <row r="78" spans="1:10" x14ac:dyDescent="0.25">
      <c r="A78" s="18" t="s">
        <v>113</v>
      </c>
      <c r="B78" s="67"/>
      <c r="C78" s="67"/>
      <c r="D78" s="67"/>
      <c r="E78" s="67"/>
      <c r="F78" s="67"/>
      <c r="G78" s="18"/>
      <c r="H78" s="18"/>
      <c r="I78" s="18"/>
      <c r="J78" s="18"/>
    </row>
    <row r="79" spans="1:10" x14ac:dyDescent="0.25">
      <c r="A79" s="18" t="s">
        <v>129</v>
      </c>
      <c r="B79" s="18"/>
      <c r="C79" s="18"/>
      <c r="D79" s="18"/>
      <c r="E79" s="18"/>
      <c r="F79" s="18"/>
      <c r="G79" s="18"/>
      <c r="H79" s="18"/>
      <c r="I79" s="18"/>
      <c r="J79" s="18"/>
    </row>
    <row r="80" spans="1:10" x14ac:dyDescent="0.25">
      <c r="A80" s="18" t="s">
        <v>123</v>
      </c>
      <c r="B80" s="18"/>
      <c r="C80" s="18"/>
      <c r="D80" s="18"/>
      <c r="E80" s="18"/>
      <c r="F80" s="18"/>
      <c r="G80" s="18"/>
      <c r="H80" s="18"/>
      <c r="I80" s="18"/>
      <c r="J80" s="18"/>
    </row>
    <row r="81" spans="1:1" x14ac:dyDescent="0.25">
      <c r="A81" t="s">
        <v>121</v>
      </c>
    </row>
    <row r="82" spans="1:1" x14ac:dyDescent="0.25">
      <c r="A82" t="s">
        <v>130</v>
      </c>
    </row>
  </sheetData>
  <mergeCells count="16">
    <mergeCell ref="I4:I5"/>
    <mergeCell ref="C23:D23"/>
    <mergeCell ref="E23:F23"/>
    <mergeCell ref="C19:D19"/>
    <mergeCell ref="C20:D20"/>
    <mergeCell ref="C21:D21"/>
    <mergeCell ref="C22:D22"/>
    <mergeCell ref="E19:F19"/>
    <mergeCell ref="E20:F20"/>
    <mergeCell ref="E21:F21"/>
    <mergeCell ref="E22:F22"/>
    <mergeCell ref="A2:G2"/>
    <mergeCell ref="A4:A5"/>
    <mergeCell ref="C5:D5"/>
    <mergeCell ref="E5:F5"/>
    <mergeCell ref="C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2"/>
  <sheetViews>
    <sheetView zoomScale="80" zoomScaleNormal="80" workbookViewId="0">
      <selection activeCell="L16" sqref="L16"/>
    </sheetView>
  </sheetViews>
  <sheetFormatPr baseColWidth="10" defaultRowHeight="15" x14ac:dyDescent="0.25"/>
  <cols>
    <col min="1" max="1" width="55.140625" customWidth="1"/>
    <col min="2" max="2" width="17.7109375" customWidth="1"/>
    <col min="3" max="4" width="16.5703125" customWidth="1"/>
    <col min="5" max="6" width="17.42578125" customWidth="1"/>
    <col min="7" max="7" width="18.5703125" customWidth="1"/>
    <col min="8" max="8" width="13.85546875" bestFit="1" customWidth="1"/>
    <col min="9" max="9" width="15.140625" bestFit="1" customWidth="1"/>
  </cols>
  <sheetData>
    <row r="2" spans="1:9" ht="15.75" x14ac:dyDescent="0.25">
      <c r="A2" s="42" t="s">
        <v>84</v>
      </c>
      <c r="B2" s="42"/>
      <c r="C2" s="42"/>
      <c r="D2" s="42"/>
      <c r="E2" s="42"/>
      <c r="F2" s="42"/>
      <c r="G2" s="42"/>
    </row>
    <row r="4" spans="1:9" x14ac:dyDescent="0.25">
      <c r="A4" s="43" t="s">
        <v>1</v>
      </c>
      <c r="B4" s="13" t="s">
        <v>2</v>
      </c>
      <c r="C4" s="46" t="s">
        <v>3</v>
      </c>
      <c r="D4" s="46"/>
      <c r="E4" s="46"/>
      <c r="F4" s="46"/>
      <c r="G4" s="46"/>
      <c r="H4" s="46"/>
      <c r="I4" s="43" t="s">
        <v>125</v>
      </c>
    </row>
    <row r="5" spans="1:9" ht="15.75" thickBot="1" x14ac:dyDescent="0.3">
      <c r="A5" s="44"/>
      <c r="B5" s="1" t="s">
        <v>4</v>
      </c>
      <c r="C5" s="45" t="s">
        <v>5</v>
      </c>
      <c r="D5" s="45"/>
      <c r="E5" s="45" t="s">
        <v>127</v>
      </c>
      <c r="F5" s="45"/>
      <c r="G5" s="1" t="s">
        <v>6</v>
      </c>
      <c r="H5" s="9" t="s">
        <v>126</v>
      </c>
      <c r="I5" s="44"/>
    </row>
    <row r="6" spans="1:9" ht="15.75" thickTop="1" x14ac:dyDescent="0.25">
      <c r="B6" t="s">
        <v>2</v>
      </c>
      <c r="C6" s="20" t="s">
        <v>118</v>
      </c>
      <c r="D6" s="20" t="s">
        <v>119</v>
      </c>
      <c r="E6" s="20">
        <v>1600</v>
      </c>
      <c r="F6" s="20" t="s">
        <v>120</v>
      </c>
      <c r="G6" s="20" t="s">
        <v>6</v>
      </c>
    </row>
    <row r="7" spans="1:9" x14ac:dyDescent="0.25">
      <c r="A7" s="2" t="s">
        <v>7</v>
      </c>
    </row>
    <row r="9" spans="1:9" x14ac:dyDescent="0.25">
      <c r="A9" t="s">
        <v>8</v>
      </c>
    </row>
    <row r="10" spans="1:9" x14ac:dyDescent="0.25">
      <c r="A10" s="3" t="s">
        <v>63</v>
      </c>
      <c r="B10" s="12">
        <f>+C10+E10</f>
        <v>105458.99999999999</v>
      </c>
      <c r="C10" s="12">
        <f>(+'I Trimestre'!C10+'II Trimestre'!C10+'III Trimestre'!C10)/3</f>
        <v>27695.222222222219</v>
      </c>
      <c r="D10" s="12">
        <f>(+'I Trimestre'!D10+'II Trimestre'!D10+'III Trimestre'!D10)/3</f>
        <v>5867.1111111111122</v>
      </c>
      <c r="E10" s="12">
        <f>(+'I Trimestre'!E10+'II Trimestre'!E10+'III Trimestre'!E10)/3</f>
        <v>77763.777777777766</v>
      </c>
      <c r="F10" s="12">
        <f>(+'I Trimestre'!F10+'II Trimestre'!F10+'III Trimestre'!F10)/3</f>
        <v>17992.333333333332</v>
      </c>
      <c r="G10" s="12">
        <f>(+'I Trimestre'!G10+'II Trimestre'!G10+'III Trimestre'!G10)/3</f>
        <v>4745.333333333333</v>
      </c>
    </row>
    <row r="11" spans="1:9" x14ac:dyDescent="0.25">
      <c r="A11" s="15" t="s">
        <v>107</v>
      </c>
      <c r="B11" s="12">
        <f>+C11+E11</f>
        <v>101623.22222222222</v>
      </c>
      <c r="C11" s="12">
        <f>(+'I Trimestre'!C11+'II Trimestre'!C11+'III Trimestre'!C11)/3</f>
        <v>23859.444444444449</v>
      </c>
      <c r="D11" s="12">
        <f>(+'I Trimestre'!D11+'II Trimestre'!D11+'III Trimestre'!D11)/3</f>
        <v>5867.1111111111122</v>
      </c>
      <c r="E11" s="12">
        <f>(+'I Trimestre'!E11+'II Trimestre'!E11+'III Trimestre'!E11)/3</f>
        <v>77763.777777777766</v>
      </c>
      <c r="F11" s="12">
        <f>(+'I Trimestre'!F11+'II Trimestre'!F11+'III Trimestre'!F11)/3</f>
        <v>17992.333333333332</v>
      </c>
      <c r="G11" s="12">
        <f>(+'I Trimestre'!G11+'II Trimestre'!G11+'III Trimestre'!G11)/3</f>
        <v>4745.333333333333</v>
      </c>
    </row>
    <row r="12" spans="1:9" x14ac:dyDescent="0.25">
      <c r="A12" s="3" t="s">
        <v>64</v>
      </c>
      <c r="B12" s="12">
        <f t="shared" ref="B12:B16" si="0">+C12+E12</f>
        <v>124633.11111111111</v>
      </c>
      <c r="C12" s="12">
        <f>(+'I Trimestre'!C12+'II Trimestre'!C12+'III Trimestre'!C12)/3</f>
        <v>31174.111111111113</v>
      </c>
      <c r="D12" s="12">
        <f>(+'I Trimestre'!D12+'II Trimestre'!D12+'III Trimestre'!D12)/3</f>
        <v>8556</v>
      </c>
      <c r="E12" s="12">
        <f>(+'I Trimestre'!E12+'II Trimestre'!E12+'III Trimestre'!E12)/3</f>
        <v>93459</v>
      </c>
      <c r="F12" s="12">
        <f>(+'I Trimestre'!F12+'II Trimestre'!F12+'III Trimestre'!F12)/3</f>
        <v>46506.666666666664</v>
      </c>
      <c r="G12" s="12">
        <f>(+'I Trimestre'!G12+'II Trimestre'!G12+'III Trimestre'!G12)/3</f>
        <v>6961.7777777777774</v>
      </c>
    </row>
    <row r="13" spans="1:9" x14ac:dyDescent="0.25">
      <c r="A13" s="15" t="s">
        <v>107</v>
      </c>
      <c r="B13" s="12">
        <f t="shared" si="0"/>
        <v>118995.66666666667</v>
      </c>
      <c r="C13" s="12">
        <f>(+'I Trimestre'!C13+'II Trimestre'!C13+'III Trimestre'!C13)/3</f>
        <v>25536.666666666668</v>
      </c>
      <c r="D13" s="12">
        <f>(+'I Trimestre'!D13+'II Trimestre'!D13+'III Trimestre'!D13)/3</f>
        <v>8556</v>
      </c>
      <c r="E13" s="12">
        <f>(+'I Trimestre'!E13+'II Trimestre'!E13+'III Trimestre'!E13)/3</f>
        <v>93459</v>
      </c>
      <c r="F13" s="12">
        <f>(+'I Trimestre'!F13+'II Trimestre'!F13+'III Trimestre'!F13)/3</f>
        <v>46506.666666666664</v>
      </c>
      <c r="G13" s="12">
        <f>(+'I Trimestre'!G13+'II Trimestre'!G13+'III Trimestre'!G13)/3</f>
        <v>6961.7777777777774</v>
      </c>
    </row>
    <row r="14" spans="1:9" x14ac:dyDescent="0.25">
      <c r="A14" s="3" t="s">
        <v>65</v>
      </c>
      <c r="B14" s="12">
        <f t="shared" si="0"/>
        <v>113799.33333333333</v>
      </c>
      <c r="C14" s="12">
        <f>(+'I Trimestre'!C14+'II Trimestre'!C14+'III Trimestre'!C14)/3</f>
        <v>27142.333333333332</v>
      </c>
      <c r="D14" s="12">
        <f>(+'I Trimestre'!D14+'II Trimestre'!D14+'III Trimestre'!D14)/3</f>
        <v>5837.2222222222217</v>
      </c>
      <c r="E14" s="12">
        <f>(+'I Trimestre'!E14+'II Trimestre'!E14+'III Trimestre'!E14)/3</f>
        <v>86657</v>
      </c>
      <c r="F14" s="12">
        <f>(+'I Trimestre'!F14+'II Trimestre'!F14+'III Trimestre'!F14)/3</f>
        <v>41401.666666666664</v>
      </c>
      <c r="G14" s="12">
        <f>(+'I Trimestre'!G14+'II Trimestre'!G14+'III Trimestre'!G14)/3</f>
        <v>5051.666666666667</v>
      </c>
    </row>
    <row r="15" spans="1:9" x14ac:dyDescent="0.25">
      <c r="A15" s="15" t="s">
        <v>107</v>
      </c>
      <c r="B15" s="12">
        <f t="shared" si="0"/>
        <v>95673.111111111109</v>
      </c>
      <c r="C15" s="12">
        <f>(+'I Trimestre'!C15+'II Trimestre'!C15+'III Trimestre'!C15)/3</f>
        <v>22211.666666666668</v>
      </c>
      <c r="D15" s="12">
        <f>(+'I Trimestre'!D15+'II Trimestre'!D15+'III Trimestre'!D15)/3</f>
        <v>5837.2222222222217</v>
      </c>
      <c r="E15" s="12">
        <f>(+'I Trimestre'!E15+'II Trimestre'!E15+'III Trimestre'!E15)/3</f>
        <v>73461.444444444438</v>
      </c>
      <c r="F15" s="12">
        <f>(+'I Trimestre'!F15+'II Trimestre'!F15+'III Trimestre'!F15)/3</f>
        <v>41401.666666666664</v>
      </c>
      <c r="G15" s="12">
        <f>(+'I Trimestre'!G15+'II Trimestre'!G15+'III Trimestre'!G15)/3</f>
        <v>5051.666666666667</v>
      </c>
    </row>
    <row r="16" spans="1:9" x14ac:dyDescent="0.25">
      <c r="A16" s="3" t="s">
        <v>12</v>
      </c>
      <c r="B16" s="12">
        <f t="shared" si="0"/>
        <v>124476.33333333333</v>
      </c>
      <c r="C16" s="4">
        <f>'III Trimestre'!C16</f>
        <v>29338.333333333332</v>
      </c>
      <c r="D16" s="4">
        <f>'III Trimestre'!D16</f>
        <v>8556</v>
      </c>
      <c r="E16" s="4">
        <f>'III Trimestre'!E16</f>
        <v>95138</v>
      </c>
      <c r="F16" s="4">
        <f>'III Trimestre'!F16</f>
        <v>48633.5</v>
      </c>
      <c r="G16" s="4">
        <f>'III Trimestre'!G16</f>
        <v>7051</v>
      </c>
    </row>
    <row r="17" spans="1:11" x14ac:dyDescent="0.25">
      <c r="B17" s="11"/>
      <c r="C17" s="11"/>
      <c r="D17" s="11"/>
      <c r="E17" s="11"/>
      <c r="F17" s="11"/>
      <c r="G17" s="11"/>
    </row>
    <row r="18" spans="1:11" x14ac:dyDescent="0.25">
      <c r="A18" s="6" t="s">
        <v>13</v>
      </c>
      <c r="B18" s="11"/>
      <c r="C18" s="11"/>
      <c r="D18" s="11"/>
      <c r="E18" s="11"/>
      <c r="F18" s="11"/>
      <c r="G18" s="11"/>
    </row>
    <row r="19" spans="1:11" x14ac:dyDescent="0.25">
      <c r="A19" s="3" t="s">
        <v>63</v>
      </c>
      <c r="B19" s="12">
        <f>SUM(C19:G19)</f>
        <v>6008269136.3100004</v>
      </c>
      <c r="C19" s="41">
        <f>+'I Trimestre'!C19+'II Trimestre'!C19+'III Trimestre'!C19:D19</f>
        <v>2202379964</v>
      </c>
      <c r="D19" s="41"/>
      <c r="E19" s="41">
        <f>+'I Trimestre'!E19+'II Trimestre'!E19+'III Trimestre'!E19:F19</f>
        <v>3061727767.8400002</v>
      </c>
      <c r="F19" s="41"/>
      <c r="G19" s="12">
        <f>+'I Trimestre'!G19+'II Trimestre'!G19+'III Trimestre'!G19</f>
        <v>744161404.47000003</v>
      </c>
      <c r="H19" s="12">
        <f>+'I Trimestre'!H19+'II Trimestre'!H19+'III Trimestre'!H19</f>
        <v>0</v>
      </c>
      <c r="I19" s="12">
        <f>+'I Trimestre'!I19+'II Trimestre'!I19+'III Trimestre'!I19</f>
        <v>0</v>
      </c>
    </row>
    <row r="20" spans="1:11" x14ac:dyDescent="0.25">
      <c r="A20" s="3" t="s">
        <v>64</v>
      </c>
      <c r="B20" s="12">
        <f>SUM(C20:I20)</f>
        <v>9739253950.0799999</v>
      </c>
      <c r="C20" s="41">
        <f>+'I Trimestre'!C20+'II Trimestre'!C20+'III Trimestre'!C20:D20</f>
        <v>3485059440</v>
      </c>
      <c r="D20" s="41"/>
      <c r="E20" s="41">
        <f>+'I Trimestre'!E20+'II Trimestre'!E20+'III Trimestre'!E20:F20</f>
        <v>4993983104</v>
      </c>
      <c r="F20" s="41"/>
      <c r="G20" s="12">
        <f>+'I Trimestre'!G20+'II Trimestre'!G20+'III Trimestre'!G20</f>
        <v>1260211406.0799999</v>
      </c>
      <c r="H20" s="12">
        <f>+'I Trimestre'!H20+'II Trimestre'!H20+'III Trimestre'!H20</f>
        <v>0</v>
      </c>
      <c r="I20" s="12">
        <f>+'I Trimestre'!I20+'II Trimestre'!I20+'III Trimestre'!I20</f>
        <v>0</v>
      </c>
    </row>
    <row r="21" spans="1:11" x14ac:dyDescent="0.25">
      <c r="A21" s="3" t="s">
        <v>65</v>
      </c>
      <c r="B21" s="12">
        <f>SUM(C21:I21)</f>
        <v>6795828982.0900002</v>
      </c>
      <c r="C21" s="41">
        <f>+'I Trimestre'!C21+'II Trimestre'!C21+'III Trimestre'!C21:D21</f>
        <v>2611024598</v>
      </c>
      <c r="D21" s="41"/>
      <c r="E21" s="41">
        <f>+'I Trimestre'!E21+'II Trimestre'!E21+'III Trimestre'!E21:F21</f>
        <v>3370151680</v>
      </c>
      <c r="F21" s="41"/>
      <c r="G21" s="12">
        <f>+'I Trimestre'!G21+'II Trimestre'!G21+'III Trimestre'!G21</f>
        <v>632047270</v>
      </c>
      <c r="H21" s="12">
        <f>+'I Trimestre'!H21+'II Trimestre'!H21+'III Trimestre'!H21</f>
        <v>0</v>
      </c>
      <c r="I21" s="12">
        <f>+'I Trimestre'!I21+'II Trimestre'!I21+'III Trimestre'!I21</f>
        <v>182605434.08999997</v>
      </c>
    </row>
    <row r="22" spans="1:11" x14ac:dyDescent="0.25">
      <c r="A22" s="56" t="s">
        <v>12</v>
      </c>
      <c r="B22" s="21">
        <f>SUM(C22:I22)</f>
        <v>13269992710.619999</v>
      </c>
      <c r="C22" s="68">
        <f>'III Trimestre'!C22:D22</f>
        <v>4807405080</v>
      </c>
      <c r="D22" s="68"/>
      <c r="E22" s="68">
        <f>'III Trimestre'!E22:F22</f>
        <v>6776922128</v>
      </c>
      <c r="F22" s="68"/>
      <c r="G22" s="21">
        <f>'III Trimestre'!G22</f>
        <v>1685665502.6199999</v>
      </c>
      <c r="H22" s="21">
        <f>'III Trimestre'!H22</f>
        <v>0</v>
      </c>
      <c r="I22" s="21">
        <f>'III Trimestre'!I22</f>
        <v>0</v>
      </c>
      <c r="J22" s="18"/>
      <c r="K22" s="18"/>
    </row>
    <row r="23" spans="1:11" x14ac:dyDescent="0.25">
      <c r="A23" s="56" t="s">
        <v>66</v>
      </c>
      <c r="B23" s="21">
        <f>SUM(C23:I23)</f>
        <v>4002198950</v>
      </c>
      <c r="C23" s="66">
        <f>+'I Trimestre'!C23+'II Trimestre'!C23+'III Trimestre'!C23:D23</f>
        <v>0</v>
      </c>
      <c r="D23" s="66"/>
      <c r="E23" s="66">
        <f>+'I Trimestre'!E23+'II Trimestre'!E23+'III Trimestre'!E23:F23</f>
        <v>3370151680</v>
      </c>
      <c r="F23" s="66"/>
      <c r="G23" s="21">
        <f>+'I Trimestre'!G23+'II Trimestre'!G23+'III Trimestre'!G23</f>
        <v>632047270</v>
      </c>
      <c r="H23" s="21">
        <f>+'I Trimestre'!H23+'II Trimestre'!H23+'III Trimestre'!H23</f>
        <v>0</v>
      </c>
      <c r="I23" s="21">
        <f>+'I Trimestre'!I23+'II Trimestre'!I23+'III Trimestre'!I23</f>
        <v>0</v>
      </c>
      <c r="J23" s="18"/>
      <c r="K23" s="18"/>
    </row>
    <row r="24" spans="1:11" x14ac:dyDescent="0.25">
      <c r="A24" s="18"/>
      <c r="B24" s="23"/>
      <c r="C24" s="23"/>
      <c r="D24" s="23"/>
      <c r="E24" s="23"/>
      <c r="F24" s="23"/>
      <c r="G24" s="23"/>
      <c r="H24" s="18"/>
      <c r="I24" s="18"/>
      <c r="J24" s="18"/>
      <c r="K24" s="18"/>
    </row>
    <row r="25" spans="1:11" x14ac:dyDescent="0.25">
      <c r="A25" s="59" t="s">
        <v>15</v>
      </c>
      <c r="B25" s="23"/>
      <c r="C25" s="23"/>
      <c r="D25" s="23"/>
      <c r="E25" s="23"/>
      <c r="F25" s="23"/>
      <c r="G25" s="23"/>
      <c r="H25" s="23"/>
      <c r="I25" s="23"/>
      <c r="J25" s="18"/>
      <c r="K25" s="18"/>
    </row>
    <row r="26" spans="1:11" x14ac:dyDescent="0.25">
      <c r="A26" s="56" t="s">
        <v>64</v>
      </c>
      <c r="B26" s="21">
        <f>+'I Trimestre'!B26+'II Trimestre'!B26+'III Trimestre'!B26</f>
        <v>9739253950.0799999</v>
      </c>
      <c r="C26" s="23"/>
      <c r="D26" s="23"/>
      <c r="E26" s="23"/>
      <c r="F26" s="23"/>
      <c r="G26" s="23"/>
      <c r="H26" s="23"/>
      <c r="I26" s="23"/>
      <c r="J26" s="18"/>
      <c r="K26" s="18"/>
    </row>
    <row r="27" spans="1:11" x14ac:dyDescent="0.25">
      <c r="A27" s="56" t="s">
        <v>65</v>
      </c>
      <c r="B27" s="21">
        <f>+'I Trimestre'!B27+'II Trimestre'!B27+'III Trimestre'!B27</f>
        <v>6922202378</v>
      </c>
      <c r="C27" s="23"/>
      <c r="D27" s="23"/>
      <c r="E27" s="23"/>
      <c r="F27" s="23"/>
      <c r="G27" s="23"/>
      <c r="H27" s="23"/>
      <c r="I27" s="23"/>
      <c r="J27" s="18"/>
      <c r="K27" s="18"/>
    </row>
    <row r="28" spans="1:11" x14ac:dyDescent="0.25">
      <c r="A28" s="18"/>
      <c r="B28" s="18"/>
      <c r="C28" s="18"/>
      <c r="D28" s="18"/>
      <c r="E28" s="18"/>
      <c r="F28" s="18"/>
      <c r="G28" s="18"/>
      <c r="H28" s="18"/>
      <c r="I28" s="18"/>
      <c r="J28" s="18"/>
      <c r="K28" s="18"/>
    </row>
    <row r="29" spans="1:11" x14ac:dyDescent="0.25">
      <c r="A29" s="18" t="s">
        <v>16</v>
      </c>
      <c r="B29" s="18"/>
      <c r="C29" s="18"/>
      <c r="D29" s="18"/>
      <c r="E29" s="18"/>
      <c r="F29" s="18"/>
      <c r="G29" s="18"/>
      <c r="H29" s="18"/>
      <c r="I29" s="18"/>
      <c r="J29" s="18"/>
      <c r="K29" s="18"/>
    </row>
    <row r="30" spans="1:11" x14ac:dyDescent="0.25">
      <c r="A30" s="56" t="s">
        <v>67</v>
      </c>
      <c r="B30" s="60">
        <v>1.39</v>
      </c>
      <c r="C30" s="60">
        <v>1.39</v>
      </c>
      <c r="D30" s="60">
        <v>1.39</v>
      </c>
      <c r="E30" s="60">
        <v>1.39</v>
      </c>
      <c r="F30" s="60">
        <v>1.39</v>
      </c>
      <c r="G30" s="60">
        <v>1.39</v>
      </c>
      <c r="H30" s="60"/>
      <c r="I30" s="60"/>
      <c r="J30" s="18"/>
      <c r="K30" s="18"/>
    </row>
    <row r="31" spans="1:11" x14ac:dyDescent="0.25">
      <c r="A31" s="56" t="s">
        <v>68</v>
      </c>
      <c r="B31" s="60">
        <v>1.45</v>
      </c>
      <c r="C31" s="60">
        <v>1.45</v>
      </c>
      <c r="D31" s="60">
        <v>1.45</v>
      </c>
      <c r="E31" s="60">
        <v>1.45</v>
      </c>
      <c r="F31" s="60">
        <v>1.45</v>
      </c>
      <c r="G31" s="60">
        <v>1.45</v>
      </c>
      <c r="H31" s="60"/>
      <c r="I31" s="60"/>
      <c r="J31" s="18"/>
      <c r="K31" s="18"/>
    </row>
    <row r="32" spans="1:11" x14ac:dyDescent="0.25">
      <c r="A32" s="56" t="s">
        <v>19</v>
      </c>
      <c r="B32" s="5">
        <v>73492</v>
      </c>
      <c r="C32" s="5">
        <v>73492</v>
      </c>
      <c r="D32" s="5">
        <v>73492</v>
      </c>
      <c r="E32" s="5">
        <v>73492</v>
      </c>
      <c r="F32" s="5">
        <v>73492</v>
      </c>
      <c r="G32" s="5">
        <v>73492</v>
      </c>
      <c r="H32" s="5"/>
      <c r="I32" s="5"/>
      <c r="J32" s="18"/>
      <c r="K32" s="18"/>
    </row>
    <row r="33" spans="1:11" x14ac:dyDescent="0.25">
      <c r="A33" s="18"/>
      <c r="B33" s="18"/>
      <c r="C33" s="18"/>
      <c r="D33" s="18"/>
      <c r="E33" s="18"/>
      <c r="F33" s="18"/>
      <c r="G33" s="18"/>
      <c r="H33" s="18"/>
      <c r="I33" s="18"/>
      <c r="J33" s="18"/>
      <c r="K33" s="18"/>
    </row>
    <row r="34" spans="1:11" x14ac:dyDescent="0.25">
      <c r="A34" s="61" t="s">
        <v>20</v>
      </c>
      <c r="B34" s="18"/>
      <c r="C34" s="18"/>
      <c r="D34" s="18"/>
      <c r="E34" s="18"/>
      <c r="F34" s="18"/>
      <c r="G34" s="18"/>
      <c r="H34" s="18"/>
      <c r="I34" s="18"/>
      <c r="J34" s="18"/>
      <c r="K34" s="18"/>
    </row>
    <row r="35" spans="1:11" x14ac:dyDescent="0.25">
      <c r="A35" s="18" t="s">
        <v>69</v>
      </c>
      <c r="B35" s="5">
        <f>B19/B30</f>
        <v>4322495781.5179863</v>
      </c>
      <c r="C35" s="5">
        <f t="shared" ref="C35:G35" si="1">C19/C30</f>
        <v>1584446017.2661872</v>
      </c>
      <c r="D35" s="5"/>
      <c r="E35" s="5">
        <f t="shared" si="1"/>
        <v>2202681847.3669066</v>
      </c>
      <c r="F35" s="5"/>
      <c r="G35" s="5">
        <f t="shared" si="1"/>
        <v>535367916.88489217</v>
      </c>
      <c r="H35" s="5"/>
      <c r="I35" s="5"/>
      <c r="J35" s="18"/>
      <c r="K35" s="18"/>
    </row>
    <row r="36" spans="1:11" x14ac:dyDescent="0.25">
      <c r="A36" s="18" t="s">
        <v>70</v>
      </c>
      <c r="B36" s="5">
        <f>B21/B31</f>
        <v>4686778608.3379316</v>
      </c>
      <c r="C36" s="5">
        <f t="shared" ref="C36:G36" si="2">C21/C31</f>
        <v>1800706619.3103449</v>
      </c>
      <c r="D36" s="5"/>
      <c r="E36" s="5">
        <f t="shared" si="2"/>
        <v>2324242537.9310346</v>
      </c>
      <c r="F36" s="5"/>
      <c r="G36" s="5">
        <f t="shared" si="2"/>
        <v>435894668.96551728</v>
      </c>
      <c r="H36" s="5"/>
      <c r="I36" s="5"/>
      <c r="J36" s="18"/>
      <c r="K36" s="18"/>
    </row>
    <row r="37" spans="1:11" x14ac:dyDescent="0.25">
      <c r="A37" s="18" t="s">
        <v>71</v>
      </c>
      <c r="B37" s="5">
        <f>B35/B10</f>
        <v>40987.452768545001</v>
      </c>
      <c r="C37" s="5">
        <f>C35/(C10+D10)</f>
        <v>47209.054314842651</v>
      </c>
      <c r="D37" s="5"/>
      <c r="E37" s="5">
        <f>E35/(E10+F10)</f>
        <v>23003.042017976415</v>
      </c>
      <c r="F37" s="5"/>
      <c r="G37" s="5">
        <f>G35/G10</f>
        <v>112819.87571330968</v>
      </c>
      <c r="H37" s="5"/>
      <c r="I37" s="5"/>
      <c r="J37" s="18"/>
      <c r="K37" s="18"/>
    </row>
    <row r="38" spans="1:11" x14ac:dyDescent="0.25">
      <c r="A38" s="18" t="s">
        <v>72</v>
      </c>
      <c r="B38" s="5">
        <f>B36/B14</f>
        <v>41184.587563529356</v>
      </c>
      <c r="C38" s="5">
        <f>C36/(C14+D14)</f>
        <v>54600.693944373299</v>
      </c>
      <c r="D38" s="5"/>
      <c r="E38" s="5">
        <f>E36/(E14+F14)</f>
        <v>18149.826157264131</v>
      </c>
      <c r="F38" s="5"/>
      <c r="G38" s="62">
        <f>G36/G14</f>
        <v>86287.298376545805</v>
      </c>
      <c r="H38" s="62"/>
      <c r="I38" s="62"/>
      <c r="J38" s="18"/>
      <c r="K38" s="18"/>
    </row>
    <row r="39" spans="1:11" x14ac:dyDescent="0.25">
      <c r="A39" s="18"/>
      <c r="B39" s="18"/>
      <c r="C39" s="18"/>
      <c r="D39" s="18"/>
      <c r="E39" s="18"/>
      <c r="F39" s="18"/>
      <c r="G39" s="18"/>
      <c r="H39" s="18"/>
      <c r="I39" s="18"/>
      <c r="J39" s="18"/>
      <c r="K39" s="18"/>
    </row>
    <row r="40" spans="1:11" x14ac:dyDescent="0.25">
      <c r="A40" s="61" t="s">
        <v>25</v>
      </c>
      <c r="B40" s="18"/>
      <c r="C40" s="18"/>
      <c r="D40" s="18"/>
      <c r="E40" s="18"/>
      <c r="F40" s="18"/>
      <c r="G40" s="18"/>
      <c r="H40" s="18"/>
      <c r="I40" s="18"/>
      <c r="J40" s="18"/>
      <c r="K40" s="18"/>
    </row>
    <row r="41" spans="1:11" x14ac:dyDescent="0.25">
      <c r="A41" s="18"/>
      <c r="B41" s="18"/>
      <c r="C41" s="18"/>
      <c r="D41" s="18"/>
      <c r="E41" s="18"/>
      <c r="F41" s="18"/>
      <c r="G41" s="18"/>
      <c r="H41" s="18"/>
      <c r="I41" s="18"/>
      <c r="J41" s="18"/>
      <c r="K41" s="18"/>
    </row>
    <row r="42" spans="1:11" x14ac:dyDescent="0.25">
      <c r="A42" s="18" t="s">
        <v>26</v>
      </c>
      <c r="B42" s="18"/>
      <c r="C42" s="18"/>
      <c r="D42" s="18"/>
      <c r="E42" s="18"/>
      <c r="F42" s="18"/>
      <c r="G42" s="18"/>
      <c r="H42" s="18"/>
      <c r="I42" s="18"/>
      <c r="J42" s="18"/>
      <c r="K42" s="18"/>
    </row>
    <row r="43" spans="1:11" x14ac:dyDescent="0.25">
      <c r="A43" s="18" t="s">
        <v>27</v>
      </c>
      <c r="B43" s="8">
        <f>(B13/B32)*100</f>
        <v>161.91648977666503</v>
      </c>
      <c r="C43" s="8">
        <f t="shared" ref="C43:G43" si="3">(C13/C32)*100</f>
        <v>34.747546218182478</v>
      </c>
      <c r="D43" s="8">
        <f t="shared" si="3"/>
        <v>11.64208349208077</v>
      </c>
      <c r="E43" s="8">
        <f t="shared" si="3"/>
        <v>127.16894355848257</v>
      </c>
      <c r="F43" s="8">
        <f t="shared" si="3"/>
        <v>63.281264173878341</v>
      </c>
      <c r="G43" s="8">
        <f t="shared" si="3"/>
        <v>9.4728375575270469</v>
      </c>
      <c r="H43" s="8"/>
      <c r="I43" s="8"/>
      <c r="J43" s="18"/>
      <c r="K43" s="18"/>
    </row>
    <row r="44" spans="1:11" x14ac:dyDescent="0.25">
      <c r="A44" s="18" t="s">
        <v>28</v>
      </c>
      <c r="B44" s="8">
        <f>(B15/B32)*100</f>
        <v>130.18166754355727</v>
      </c>
      <c r="C44" s="8">
        <f t="shared" ref="C44:G44" si="4">(C15/C32)*100</f>
        <v>30.223244253342767</v>
      </c>
      <c r="D44" s="8">
        <f t="shared" si="4"/>
        <v>7.942663449385269</v>
      </c>
      <c r="E44" s="8">
        <f t="shared" si="4"/>
        <v>99.958423290214498</v>
      </c>
      <c r="F44" s="8">
        <f t="shared" si="4"/>
        <v>56.334929878989094</v>
      </c>
      <c r="G44" s="8">
        <f t="shared" si="4"/>
        <v>6.8737640378091047</v>
      </c>
      <c r="H44" s="8"/>
      <c r="I44" s="8"/>
      <c r="J44" s="18"/>
      <c r="K44" s="18"/>
    </row>
    <row r="45" spans="1:11" x14ac:dyDescent="0.25">
      <c r="A45" s="18"/>
      <c r="B45" s="18"/>
      <c r="C45" s="18"/>
      <c r="D45" s="18"/>
      <c r="E45" s="18"/>
      <c r="F45" s="18"/>
      <c r="G45" s="18"/>
      <c r="H45" s="18"/>
      <c r="I45" s="18"/>
      <c r="J45" s="18"/>
      <c r="K45" s="18"/>
    </row>
    <row r="46" spans="1:11" x14ac:dyDescent="0.25">
      <c r="A46" s="18" t="s">
        <v>29</v>
      </c>
      <c r="B46" s="18"/>
      <c r="C46" s="18"/>
      <c r="D46" s="18"/>
      <c r="E46" s="18"/>
      <c r="F46" s="18"/>
      <c r="G46" s="18"/>
      <c r="H46" s="18"/>
      <c r="I46" s="18"/>
      <c r="J46" s="18"/>
      <c r="K46" s="18"/>
    </row>
    <row r="47" spans="1:11" x14ac:dyDescent="0.25">
      <c r="A47" s="18" t="s">
        <v>30</v>
      </c>
      <c r="B47" s="8">
        <f>B14/B12*100</f>
        <v>91.307464219424475</v>
      </c>
      <c r="C47" s="8">
        <f t="shared" ref="C47:G47" si="5">C14/C12*100</f>
        <v>87.066903805508119</v>
      </c>
      <c r="D47" s="8">
        <f t="shared" si="5"/>
        <v>68.223728637473371</v>
      </c>
      <c r="E47" s="8">
        <f t="shared" si="5"/>
        <v>92.721942242052663</v>
      </c>
      <c r="F47" s="8">
        <f t="shared" si="5"/>
        <v>89.023079128440358</v>
      </c>
      <c r="G47" s="8">
        <f t="shared" si="5"/>
        <v>72.562883043922383</v>
      </c>
      <c r="H47" s="8"/>
      <c r="I47" s="8"/>
      <c r="J47" s="18"/>
      <c r="K47" s="18"/>
    </row>
    <row r="48" spans="1:11" x14ac:dyDescent="0.25">
      <c r="A48" s="18" t="s">
        <v>31</v>
      </c>
      <c r="B48" s="8">
        <f>B21/B20*100</f>
        <v>69.77771620827464</v>
      </c>
      <c r="C48" s="8">
        <f>C21/C20*100</f>
        <v>74.920518371416932</v>
      </c>
      <c r="D48" s="8"/>
      <c r="E48" s="8">
        <f>E21/E20*100</f>
        <v>67.484242734033884</v>
      </c>
      <c r="F48" s="8"/>
      <c r="G48" s="8">
        <f>G21/G20*100</f>
        <v>50.154066766149931</v>
      </c>
      <c r="H48" s="8"/>
      <c r="I48" s="8"/>
      <c r="J48" s="18"/>
      <c r="K48" s="18"/>
    </row>
    <row r="49" spans="1:11" x14ac:dyDescent="0.25">
      <c r="A49" s="18" t="s">
        <v>32</v>
      </c>
      <c r="B49" s="8">
        <f>AVERAGE(B47:B48)</f>
        <v>80.542590213849564</v>
      </c>
      <c r="C49" s="8">
        <f>(C47+D47+C48)/3</f>
        <v>76.737050271466146</v>
      </c>
      <c r="D49" s="8"/>
      <c r="E49" s="8">
        <f>(E47+F47+E48)/3</f>
        <v>83.076421368175644</v>
      </c>
      <c r="F49" s="8"/>
      <c r="G49" s="8">
        <f t="shared" ref="G49" si="6">AVERAGE(G47:G48)</f>
        <v>61.358474905036161</v>
      </c>
      <c r="H49" s="8"/>
      <c r="I49" s="8"/>
      <c r="J49" s="18"/>
      <c r="K49" s="18"/>
    </row>
    <row r="50" spans="1:11" x14ac:dyDescent="0.25">
      <c r="A50" s="18"/>
      <c r="B50" s="8"/>
      <c r="C50" s="8"/>
      <c r="D50" s="8"/>
      <c r="E50" s="8"/>
      <c r="F50" s="8"/>
      <c r="G50" s="8"/>
      <c r="H50" s="8"/>
      <c r="I50" s="8"/>
      <c r="J50" s="18"/>
      <c r="K50" s="18"/>
    </row>
    <row r="51" spans="1:11" x14ac:dyDescent="0.25">
      <c r="A51" s="18" t="s">
        <v>33</v>
      </c>
      <c r="B51" s="18"/>
      <c r="C51" s="18"/>
      <c r="D51" s="18"/>
      <c r="E51" s="18"/>
      <c r="F51" s="18"/>
      <c r="G51" s="18"/>
      <c r="H51" s="18"/>
      <c r="I51" s="18"/>
      <c r="J51" s="18"/>
      <c r="K51" s="18"/>
    </row>
    <row r="52" spans="1:11" x14ac:dyDescent="0.25">
      <c r="A52" s="18" t="s">
        <v>34</v>
      </c>
      <c r="B52" s="8">
        <f>((B14/(B16))*100)</f>
        <v>91.422465850268736</v>
      </c>
      <c r="C52" s="8">
        <f t="shared" ref="C52:G52" si="7">((C14/(C16))*100)</f>
        <v>92.51491223086974</v>
      </c>
      <c r="D52" s="8">
        <f t="shared" si="7"/>
        <v>68.223728637473371</v>
      </c>
      <c r="E52" s="8">
        <f t="shared" si="7"/>
        <v>91.085580945573795</v>
      </c>
      <c r="F52" s="8">
        <f t="shared" si="7"/>
        <v>85.129934441622879</v>
      </c>
      <c r="G52" s="8">
        <f t="shared" si="7"/>
        <v>71.644683969176953</v>
      </c>
      <c r="H52" s="8"/>
      <c r="I52" s="8"/>
      <c r="J52" s="18"/>
      <c r="K52" s="18"/>
    </row>
    <row r="53" spans="1:11" x14ac:dyDescent="0.25">
      <c r="A53" s="18" t="s">
        <v>35</v>
      </c>
      <c r="B53" s="8">
        <f>B21/B22*100</f>
        <v>51.212002374735945</v>
      </c>
      <c r="C53" s="8">
        <f>C21/C22*100</f>
        <v>54.312556453012697</v>
      </c>
      <c r="D53" s="8"/>
      <c r="E53" s="8">
        <f>E21/E22*100</f>
        <v>49.72982744003577</v>
      </c>
      <c r="F53" s="8"/>
      <c r="G53" s="8">
        <f>G21/G22*100</f>
        <v>37.495414660715319</v>
      </c>
      <c r="H53" s="8"/>
      <c r="I53" s="8"/>
      <c r="J53" s="18"/>
      <c r="K53" s="18"/>
    </row>
    <row r="54" spans="1:11" x14ac:dyDescent="0.25">
      <c r="A54" s="18" t="s">
        <v>36</v>
      </c>
      <c r="B54" s="8">
        <f>(B52+B53)/2</f>
        <v>71.317234112502348</v>
      </c>
      <c r="C54" s="8">
        <f>(C52+D52+C53)/3</f>
        <v>71.683732440451934</v>
      </c>
      <c r="D54" s="8"/>
      <c r="E54" s="8">
        <f>(E52+F52+E53)/3</f>
        <v>75.315114275744136</v>
      </c>
      <c r="F54" s="8"/>
      <c r="G54" s="8">
        <f t="shared" ref="G54" si="8">(G52+G53)/2</f>
        <v>54.570049314946132</v>
      </c>
      <c r="H54" s="8"/>
      <c r="I54" s="8"/>
      <c r="J54" s="18"/>
      <c r="K54" s="18"/>
    </row>
    <row r="55" spans="1:11" x14ac:dyDescent="0.25">
      <c r="A55" s="18"/>
      <c r="B55" s="8"/>
      <c r="C55" s="8"/>
      <c r="D55" s="8"/>
      <c r="E55" s="8"/>
      <c r="F55" s="8"/>
      <c r="G55" s="8"/>
      <c r="H55" s="8"/>
      <c r="I55" s="8"/>
      <c r="J55" s="18"/>
      <c r="K55" s="18"/>
    </row>
    <row r="56" spans="1:11" x14ac:dyDescent="0.25">
      <c r="A56" s="18" t="s">
        <v>110</v>
      </c>
      <c r="B56" s="18"/>
      <c r="C56" s="18"/>
      <c r="D56" s="18"/>
      <c r="E56" s="18"/>
      <c r="F56" s="18"/>
      <c r="G56" s="18"/>
      <c r="H56" s="18"/>
      <c r="I56" s="18"/>
      <c r="J56" s="18"/>
      <c r="K56" s="18"/>
    </row>
    <row r="57" spans="1:11" x14ac:dyDescent="0.25">
      <c r="A57" s="18" t="s">
        <v>37</v>
      </c>
      <c r="B57" s="8" t="s">
        <v>138</v>
      </c>
      <c r="C57" s="8" t="s">
        <v>138</v>
      </c>
      <c r="D57" s="8" t="s">
        <v>138</v>
      </c>
      <c r="E57" s="8" t="s">
        <v>138</v>
      </c>
      <c r="F57" s="8" t="s">
        <v>138</v>
      </c>
      <c r="G57" s="8" t="s">
        <v>138</v>
      </c>
      <c r="H57" s="8"/>
      <c r="I57" s="8"/>
      <c r="J57" s="18"/>
      <c r="K57" s="18"/>
    </row>
    <row r="58" spans="1:11" x14ac:dyDescent="0.25">
      <c r="A58" s="18"/>
      <c r="B58" s="18"/>
      <c r="C58" s="18"/>
      <c r="D58" s="18"/>
      <c r="E58" s="18"/>
      <c r="F58" s="18"/>
      <c r="G58" s="18"/>
      <c r="H58" s="18"/>
      <c r="I58" s="18"/>
      <c r="J58" s="18"/>
      <c r="K58" s="18"/>
    </row>
    <row r="59" spans="1:11" x14ac:dyDescent="0.25">
      <c r="A59" s="18" t="s">
        <v>38</v>
      </c>
      <c r="B59" s="18"/>
      <c r="C59" s="18"/>
      <c r="D59" s="18"/>
      <c r="E59" s="18"/>
      <c r="F59" s="18"/>
      <c r="G59" s="18"/>
      <c r="H59" s="18"/>
      <c r="I59" s="18"/>
      <c r="J59" s="18"/>
      <c r="K59" s="18"/>
    </row>
    <row r="60" spans="1:11" x14ac:dyDescent="0.25">
      <c r="A60" s="18" t="s">
        <v>39</v>
      </c>
      <c r="B60" s="8">
        <f>((B14/B10)-1)*100</f>
        <v>7.9086027113222546</v>
      </c>
      <c r="C60" s="8">
        <f t="shared" ref="C60:G60" si="9">((C14/C10)-1)*100</f>
        <v>-1.9963331019790753</v>
      </c>
      <c r="D60" s="8">
        <f t="shared" si="9"/>
        <v>-0.50943110370429423</v>
      </c>
      <c r="E60" s="8">
        <f t="shared" si="9"/>
        <v>11.436201373390077</v>
      </c>
      <c r="F60" s="8">
        <f t="shared" si="9"/>
        <v>130.10726791040628</v>
      </c>
      <c r="G60" s="8">
        <f t="shared" si="9"/>
        <v>6.4554650182635731</v>
      </c>
      <c r="H60" s="8"/>
      <c r="I60" s="8"/>
      <c r="J60" s="18"/>
      <c r="K60" s="18"/>
    </row>
    <row r="61" spans="1:11" x14ac:dyDescent="0.25">
      <c r="A61" s="18" t="s">
        <v>40</v>
      </c>
      <c r="B61" s="8">
        <f>((B36/B35)-1)*100</f>
        <v>8.4276039869729082</v>
      </c>
      <c r="C61" s="8">
        <f t="shared" ref="C61:G61" si="10">((C36/C35)-1)*100</f>
        <v>13.648972554918281</v>
      </c>
      <c r="D61" s="8"/>
      <c r="E61" s="8">
        <f t="shared" si="10"/>
        <v>5.5187584493621822</v>
      </c>
      <c r="F61" s="8"/>
      <c r="G61" s="8">
        <f t="shared" si="10"/>
        <v>-18.580352834397118</v>
      </c>
      <c r="H61" s="8"/>
      <c r="I61" s="8"/>
      <c r="J61" s="18"/>
      <c r="K61" s="18"/>
    </row>
    <row r="62" spans="1:11" x14ac:dyDescent="0.25">
      <c r="A62" s="18" t="s">
        <v>41</v>
      </c>
      <c r="B62" s="8">
        <f>((B38/B37)-1)*100</f>
        <v>0.48096376248987216</v>
      </c>
      <c r="C62" s="8">
        <f t="shared" ref="C62:G62" si="11">((C38/C37)-1)*100</f>
        <v>15.657249942426187</v>
      </c>
      <c r="D62" s="8"/>
      <c r="E62" s="8">
        <f t="shared" si="11"/>
        <v>-21.098148048938892</v>
      </c>
      <c r="F62" s="8"/>
      <c r="G62" s="8">
        <f t="shared" si="11"/>
        <v>-23.517644536488135</v>
      </c>
      <c r="H62" s="8"/>
      <c r="I62" s="8"/>
      <c r="J62" s="18"/>
      <c r="K62" s="18"/>
    </row>
    <row r="63" spans="1:11" x14ac:dyDescent="0.25">
      <c r="A63" s="18"/>
      <c r="B63" s="8"/>
      <c r="C63" s="8"/>
      <c r="D63" s="8"/>
      <c r="E63" s="8"/>
      <c r="F63" s="8"/>
      <c r="G63" s="8"/>
      <c r="H63" s="8"/>
      <c r="I63" s="8"/>
      <c r="J63" s="18"/>
      <c r="K63" s="18"/>
    </row>
    <row r="64" spans="1:11" x14ac:dyDescent="0.25">
      <c r="A64" s="18" t="s">
        <v>42</v>
      </c>
      <c r="B64" s="18"/>
      <c r="C64" s="18"/>
      <c r="D64" s="18"/>
      <c r="E64" s="18"/>
      <c r="F64" s="18"/>
      <c r="G64" s="18"/>
      <c r="H64" s="18"/>
      <c r="I64" s="18"/>
      <c r="J64" s="18"/>
      <c r="K64" s="18"/>
    </row>
    <row r="65" spans="1:11" x14ac:dyDescent="0.25">
      <c r="A65" s="18" t="s">
        <v>43</v>
      </c>
      <c r="B65" s="5">
        <f>B20/(B12*9)</f>
        <v>8682.599015135982</v>
      </c>
      <c r="C65" s="5">
        <f>C20/((C12+D12)*9)</f>
        <v>9746.4823489600658</v>
      </c>
      <c r="D65" s="5"/>
      <c r="E65" s="5">
        <f>E20/((E12+F12)*9)</f>
        <v>3964.4508883527787</v>
      </c>
      <c r="F65" s="5"/>
      <c r="G65" s="5">
        <f>G20/((G12)*9)</f>
        <v>20113.18</v>
      </c>
      <c r="H65" s="5"/>
      <c r="I65" s="5"/>
      <c r="J65" s="18"/>
      <c r="K65" s="18"/>
    </row>
    <row r="66" spans="1:11" x14ac:dyDescent="0.25">
      <c r="A66" s="18" t="s">
        <v>44</v>
      </c>
      <c r="B66" s="5">
        <f>B21/(B14*9)</f>
        <v>6635.2946630130618</v>
      </c>
      <c r="C66" s="5">
        <f>C21/((C14+D14)*9)</f>
        <v>8796.7784688156971</v>
      </c>
      <c r="D66" s="5"/>
      <c r="E66" s="5">
        <f>E21/((E14+F14)*9)</f>
        <v>2924.1386586703316</v>
      </c>
      <c r="F66" s="5"/>
      <c r="G66" s="5">
        <f>G21/((G14)*9)</f>
        <v>13901.84251622127</v>
      </c>
      <c r="H66" s="5"/>
      <c r="I66" s="5"/>
      <c r="J66" s="18"/>
      <c r="K66" s="18"/>
    </row>
    <row r="67" spans="1:11" x14ac:dyDescent="0.25">
      <c r="A67" s="18" t="s">
        <v>45</v>
      </c>
      <c r="B67" s="8">
        <f>(B65/B66)*B49</f>
        <v>105.39381443984179</v>
      </c>
      <c r="C67" s="8">
        <f>(C65/C66)*C49</f>
        <v>85.021614291350616</v>
      </c>
      <c r="D67" s="8"/>
      <c r="E67" s="8">
        <f>(E65/E66)*E49</f>
        <v>112.63227600978308</v>
      </c>
      <c r="F67" s="8"/>
      <c r="G67" s="8">
        <f>(G65/G66)*G49</f>
        <v>88.773416102970359</v>
      </c>
      <c r="H67" s="8"/>
      <c r="I67" s="8"/>
      <c r="J67" s="18"/>
      <c r="K67" s="18"/>
    </row>
    <row r="68" spans="1:11" x14ac:dyDescent="0.25">
      <c r="A68" s="18" t="s">
        <v>111</v>
      </c>
      <c r="B68" s="17">
        <f>B20/B12</f>
        <v>78143.391136223829</v>
      </c>
      <c r="C68" s="17">
        <f>C20/(C12+D12)</f>
        <v>87718.341140640609</v>
      </c>
      <c r="D68" s="17"/>
      <c r="E68" s="17">
        <f t="shared" ref="E68" si="12">E20/(E12+F12)</f>
        <v>35680.057995175011</v>
      </c>
      <c r="F68" s="17"/>
      <c r="G68" s="17">
        <f>G20/(G12)</f>
        <v>181018.62</v>
      </c>
      <c r="H68" s="17"/>
      <c r="I68" s="17"/>
      <c r="J68" s="18"/>
      <c r="K68" s="18"/>
    </row>
    <row r="69" spans="1:11" x14ac:dyDescent="0.25">
      <c r="A69" s="18" t="s">
        <v>112</v>
      </c>
      <c r="B69" s="17">
        <f>B21/B14</f>
        <v>59717.651967117563</v>
      </c>
      <c r="C69" s="17">
        <f>C21/(C14+D14)</f>
        <v>79171.006219341274</v>
      </c>
      <c r="D69" s="17"/>
      <c r="E69" s="17">
        <f t="shared" ref="E69" si="13">E21/(E14+F14)</f>
        <v>26317.247928032986</v>
      </c>
      <c r="F69" s="17"/>
      <c r="G69" s="17">
        <f>G21/(G14)</f>
        <v>125116.58264599141</v>
      </c>
      <c r="H69" s="17"/>
      <c r="I69" s="17"/>
      <c r="J69" s="18"/>
      <c r="K69" s="18"/>
    </row>
    <row r="70" spans="1:11" x14ac:dyDescent="0.25">
      <c r="A70" s="18"/>
      <c r="B70" s="8"/>
      <c r="C70" s="8"/>
      <c r="D70" s="8"/>
      <c r="E70" s="8"/>
      <c r="F70" s="8"/>
      <c r="G70" s="8"/>
      <c r="H70" s="8"/>
      <c r="I70" s="8"/>
      <c r="J70" s="18"/>
      <c r="K70" s="18"/>
    </row>
    <row r="71" spans="1:11" x14ac:dyDescent="0.25">
      <c r="A71" s="18" t="s">
        <v>46</v>
      </c>
      <c r="B71" s="8"/>
      <c r="C71" s="8"/>
      <c r="D71" s="8"/>
      <c r="E71" s="8"/>
      <c r="F71" s="8"/>
      <c r="G71" s="8"/>
      <c r="H71" s="8"/>
      <c r="I71" s="8"/>
      <c r="J71" s="18"/>
      <c r="K71" s="18"/>
    </row>
    <row r="72" spans="1:11" x14ac:dyDescent="0.25">
      <c r="A72" s="18" t="s">
        <v>47</v>
      </c>
      <c r="B72" s="8">
        <f>(B27/B26)*100</f>
        <v>71.07528372789929</v>
      </c>
      <c r="C72" s="8"/>
      <c r="D72" s="8"/>
      <c r="E72" s="8"/>
      <c r="F72" s="8"/>
      <c r="G72" s="8"/>
      <c r="H72" s="8"/>
      <c r="I72" s="8"/>
      <c r="J72" s="18"/>
      <c r="K72" s="18"/>
    </row>
    <row r="73" spans="1:11" x14ac:dyDescent="0.25">
      <c r="A73" s="18" t="s">
        <v>48</v>
      </c>
      <c r="B73" s="8">
        <f>(B21/B27)*100</f>
        <v>98.174375884882565</v>
      </c>
      <c r="C73" s="8"/>
      <c r="D73" s="8"/>
      <c r="E73" s="8"/>
      <c r="F73" s="8"/>
      <c r="G73" s="8"/>
      <c r="H73" s="8"/>
      <c r="I73" s="8"/>
      <c r="J73" s="18"/>
      <c r="K73" s="18"/>
    </row>
    <row r="74" spans="1:11" ht="15.75" thickBot="1" x14ac:dyDescent="0.3">
      <c r="A74" s="63"/>
      <c r="B74" s="63"/>
      <c r="C74" s="63"/>
      <c r="D74" s="63"/>
      <c r="E74" s="63"/>
      <c r="F74" s="63"/>
      <c r="G74" s="63"/>
      <c r="H74" s="63"/>
      <c r="I74" s="63"/>
      <c r="J74" s="18"/>
      <c r="K74" s="18"/>
    </row>
    <row r="75" spans="1:11" ht="15.75" thickTop="1" x14ac:dyDescent="0.25">
      <c r="A75" s="19" t="s">
        <v>122</v>
      </c>
      <c r="B75" s="18"/>
      <c r="C75" s="18"/>
      <c r="D75" s="18"/>
      <c r="E75" s="18"/>
      <c r="F75" s="18"/>
      <c r="G75" s="18"/>
      <c r="H75" s="18"/>
      <c r="I75" s="18"/>
      <c r="J75" s="18"/>
      <c r="K75" s="18"/>
    </row>
    <row r="76" spans="1:11" x14ac:dyDescent="0.25">
      <c r="A76" t="s">
        <v>60</v>
      </c>
    </row>
    <row r="77" spans="1:11" x14ac:dyDescent="0.25">
      <c r="A77" t="s">
        <v>61</v>
      </c>
    </row>
    <row r="78" spans="1:11" x14ac:dyDescent="0.25">
      <c r="A78" t="s">
        <v>113</v>
      </c>
      <c r="B78" s="10"/>
      <c r="C78" s="10"/>
      <c r="D78" s="10"/>
      <c r="E78" s="10"/>
      <c r="F78" s="10"/>
    </row>
    <row r="79" spans="1:11" x14ac:dyDescent="0.25">
      <c r="A79" t="s">
        <v>129</v>
      </c>
    </row>
    <row r="80" spans="1:11" x14ac:dyDescent="0.25">
      <c r="A80" t="s">
        <v>123</v>
      </c>
    </row>
    <row r="81" spans="1:1" x14ac:dyDescent="0.25">
      <c r="A81" t="s">
        <v>121</v>
      </c>
    </row>
    <row r="82" spans="1:1" x14ac:dyDescent="0.25">
      <c r="A82" t="s">
        <v>130</v>
      </c>
    </row>
  </sheetData>
  <mergeCells count="16">
    <mergeCell ref="I4:I5"/>
    <mergeCell ref="C23:D23"/>
    <mergeCell ref="E23:F23"/>
    <mergeCell ref="C19:D19"/>
    <mergeCell ref="C20:D20"/>
    <mergeCell ref="C21:D21"/>
    <mergeCell ref="C22:D22"/>
    <mergeCell ref="E19:F19"/>
    <mergeCell ref="E20:F20"/>
    <mergeCell ref="E21:F21"/>
    <mergeCell ref="E22:F22"/>
    <mergeCell ref="A2:G2"/>
    <mergeCell ref="A4:A5"/>
    <mergeCell ref="C5:D5"/>
    <mergeCell ref="E5:F5"/>
    <mergeCell ref="C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82"/>
  <sheetViews>
    <sheetView topLeftCell="A124" zoomScale="80" zoomScaleNormal="80" workbookViewId="0">
      <selection activeCell="A2" sqref="A2:G2"/>
    </sheetView>
  </sheetViews>
  <sheetFormatPr baseColWidth="10" defaultRowHeight="15" x14ac:dyDescent="0.25"/>
  <cols>
    <col min="1" max="1" width="55.140625" style="12" customWidth="1"/>
    <col min="2" max="2" width="19.85546875" style="12" bestFit="1" customWidth="1"/>
    <col min="3" max="4" width="16.5703125" style="12" customWidth="1"/>
    <col min="5" max="6" width="17.42578125" style="12" customWidth="1"/>
    <col min="7" max="7" width="18.5703125" style="12" customWidth="1"/>
    <col min="8" max="8" width="15" style="12" bestFit="1" customWidth="1"/>
    <col min="9" max="9" width="16" style="12" bestFit="1" customWidth="1"/>
    <col min="10" max="16384" width="11.42578125" style="12"/>
  </cols>
  <sheetData>
    <row r="2" spans="1:10" ht="15.75" x14ac:dyDescent="0.25">
      <c r="A2" s="39" t="s">
        <v>83</v>
      </c>
      <c r="B2" s="39"/>
      <c r="C2" s="39"/>
      <c r="D2" s="39"/>
      <c r="E2" s="39"/>
      <c r="F2" s="39"/>
      <c r="G2" s="39"/>
    </row>
    <row r="4" spans="1:10" x14ac:dyDescent="0.25">
      <c r="A4" s="37" t="s">
        <v>1</v>
      </c>
      <c r="B4" s="26" t="s">
        <v>2</v>
      </c>
      <c r="C4" s="40" t="s">
        <v>3</v>
      </c>
      <c r="D4" s="40"/>
      <c r="E4" s="40"/>
      <c r="F4" s="40"/>
      <c r="G4" s="40"/>
      <c r="H4" s="40"/>
      <c r="I4" s="37" t="s">
        <v>125</v>
      </c>
    </row>
    <row r="5" spans="1:10" ht="15.75" thickBot="1" x14ac:dyDescent="0.3">
      <c r="A5" s="38"/>
      <c r="B5" s="27" t="s">
        <v>131</v>
      </c>
      <c r="C5" s="50" t="s">
        <v>5</v>
      </c>
      <c r="D5" s="50"/>
      <c r="E5" s="50" t="s">
        <v>127</v>
      </c>
      <c r="F5" s="50"/>
      <c r="G5" s="27" t="s">
        <v>6</v>
      </c>
      <c r="H5" s="28" t="s">
        <v>126</v>
      </c>
      <c r="I5" s="38"/>
    </row>
    <row r="6" spans="1:10" ht="15.75" thickTop="1" x14ac:dyDescent="0.25">
      <c r="B6" s="12" t="s">
        <v>2</v>
      </c>
      <c r="C6" s="24" t="s">
        <v>118</v>
      </c>
      <c r="D6" s="24" t="s">
        <v>119</v>
      </c>
      <c r="E6" s="24" t="s">
        <v>140</v>
      </c>
      <c r="F6" s="24" t="s">
        <v>141</v>
      </c>
      <c r="G6" s="24" t="s">
        <v>6</v>
      </c>
    </row>
    <row r="7" spans="1:10" x14ac:dyDescent="0.25">
      <c r="A7" s="29" t="s">
        <v>7</v>
      </c>
    </row>
    <row r="9" spans="1:10" x14ac:dyDescent="0.25">
      <c r="A9" s="21" t="s">
        <v>8</v>
      </c>
      <c r="B9" s="21"/>
      <c r="C9" s="21"/>
      <c r="D9" s="21"/>
      <c r="E9" s="21"/>
      <c r="F9" s="21"/>
      <c r="G9" s="21"/>
      <c r="H9" s="21"/>
      <c r="I9" s="21"/>
      <c r="J9" s="21"/>
    </row>
    <row r="10" spans="1:10" x14ac:dyDescent="0.25">
      <c r="A10" s="52" t="s">
        <v>73</v>
      </c>
      <c r="B10" s="21">
        <f>+C10+E10</f>
        <v>110762.16666666666</v>
      </c>
      <c r="C10" s="21">
        <f>(+'I Trimestre'!C10+'II Trimestre'!C10+'III Trimestre'!C10+'IV Trimestre'!C10)/4</f>
        <v>28846.833333333332</v>
      </c>
      <c r="D10" s="21">
        <f>(+'I Trimestre'!D10+'II Trimestre'!D10+'III Trimestre'!D10+'IV Trimestre'!D10)/4</f>
        <v>6437.666666666667</v>
      </c>
      <c r="E10" s="21">
        <f>(+'I Trimestre'!E10+'II Trimestre'!E10+'III Trimestre'!E10+'IV Trimestre'!E10)/4</f>
        <v>81915.333333333328</v>
      </c>
      <c r="F10" s="21">
        <f>(+'I Trimestre'!F10+'II Trimestre'!F10+'III Trimestre'!F10+'IV Trimestre'!F10)/4</f>
        <v>18402.833333333332</v>
      </c>
      <c r="G10" s="21">
        <f>(+'I Trimestre'!G10+'II Trimestre'!G10+'III Trimestre'!G10+'IV Trimestre'!G10)/4</f>
        <v>4857.5</v>
      </c>
      <c r="H10" s="21"/>
      <c r="I10" s="21"/>
      <c r="J10" s="21"/>
    </row>
    <row r="11" spans="1:10" x14ac:dyDescent="0.25">
      <c r="A11" s="69" t="s">
        <v>107</v>
      </c>
      <c r="B11" s="21">
        <f t="shared" ref="B11:B15" si="0">+C11+E11</f>
        <v>106755.83333333333</v>
      </c>
      <c r="C11" s="21">
        <f>(+'I Trimestre'!C11+'II Trimestre'!C11+'III Trimestre'!C11+'IV Trimestre'!C11)/4</f>
        <v>24840.500000000004</v>
      </c>
      <c r="D11" s="21">
        <f>(+'I Trimestre'!D11+'II Trimestre'!D11+'III Trimestre'!D11+'IV Trimestre'!D11)/4</f>
        <v>6437.666666666667</v>
      </c>
      <c r="E11" s="21">
        <f>(+'I Trimestre'!E11+'II Trimestre'!E11+'III Trimestre'!E11+'IV Trimestre'!E11)/4</f>
        <v>81915.333333333328</v>
      </c>
      <c r="F11" s="21">
        <f>(+'I Trimestre'!F11+'II Trimestre'!F11+'III Trimestre'!F11+'IV Trimestre'!F11)/4</f>
        <v>18402.833333333332</v>
      </c>
      <c r="G11" s="21">
        <f>(+'I Trimestre'!G11+'II Trimestre'!G11+'III Trimestre'!G11+'IV Trimestre'!G11)/4</f>
        <v>4857.5</v>
      </c>
      <c r="H11" s="21"/>
      <c r="I11" s="21"/>
      <c r="J11" s="21"/>
    </row>
    <row r="12" spans="1:10" x14ac:dyDescent="0.25">
      <c r="A12" s="52" t="s">
        <v>74</v>
      </c>
      <c r="B12" s="21">
        <f t="shared" si="0"/>
        <v>126615.33333333334</v>
      </c>
      <c r="C12" s="21">
        <f>(+'I Trimestre'!C12+'II Trimestre'!C12+'III Trimestre'!C12+'IV Trimestre'!C12)/4</f>
        <v>31477.333333333336</v>
      </c>
      <c r="D12" s="21">
        <f>(+'I Trimestre'!D12+'II Trimestre'!D12+'III Trimestre'!D12+'IV Trimestre'!D12)/4</f>
        <v>8556</v>
      </c>
      <c r="E12" s="21">
        <f>(+'I Trimestre'!E12+'II Trimestre'!E12+'III Trimestre'!E12+'IV Trimestre'!E12)/4</f>
        <v>95138</v>
      </c>
      <c r="F12" s="21">
        <f>(+'I Trimestre'!F12+'II Trimestre'!F12+'III Trimestre'!F12+'IV Trimestre'!F12)/4</f>
        <v>48633.5</v>
      </c>
      <c r="G12" s="21">
        <f>(+'I Trimestre'!G12+'II Trimestre'!G12+'III Trimestre'!G12+'IV Trimestre'!G12)/4</f>
        <v>6984.083333333333</v>
      </c>
      <c r="H12" s="21"/>
      <c r="I12" s="21"/>
      <c r="J12" s="21"/>
    </row>
    <row r="13" spans="1:10" x14ac:dyDescent="0.25">
      <c r="A13" s="69" t="s">
        <v>107</v>
      </c>
      <c r="B13" s="21">
        <f t="shared" si="0"/>
        <v>120847.25</v>
      </c>
      <c r="C13" s="21">
        <f>(+'I Trimestre'!C13+'II Trimestre'!C13+'III Trimestre'!C13+'IV Trimestre'!C13)/4</f>
        <v>25709.25</v>
      </c>
      <c r="D13" s="21">
        <f>(+'I Trimestre'!D13+'II Trimestre'!D13+'III Trimestre'!D13+'IV Trimestre'!D13)/4</f>
        <v>8556</v>
      </c>
      <c r="E13" s="21">
        <f>(+'I Trimestre'!E13+'II Trimestre'!E13+'III Trimestre'!E13+'IV Trimestre'!E13)/4</f>
        <v>95138</v>
      </c>
      <c r="F13" s="21">
        <f>(+'I Trimestre'!F13+'II Trimestre'!F13+'III Trimestre'!F13+'IV Trimestre'!F13)/4</f>
        <v>48633.5</v>
      </c>
      <c r="G13" s="21">
        <f>(+'I Trimestre'!G13+'II Trimestre'!G13+'III Trimestre'!G13+'IV Trimestre'!G13)/4</f>
        <v>6984.083333333333</v>
      </c>
      <c r="H13" s="21"/>
      <c r="I13" s="21"/>
      <c r="J13" s="21"/>
    </row>
    <row r="14" spans="1:10" x14ac:dyDescent="0.25">
      <c r="A14" s="52" t="s">
        <v>75</v>
      </c>
      <c r="B14" s="21">
        <f t="shared" si="0"/>
        <v>116365.25</v>
      </c>
      <c r="C14" s="21">
        <f>(+'I Trimestre'!C14+'II Trimestre'!C14+'III Trimestre'!C14+'IV Trimestre'!C14)/4</f>
        <v>28410.833333333332</v>
      </c>
      <c r="D14" s="21">
        <f>(+'I Trimestre'!D14+'II Trimestre'!D14+'III Trimestre'!D14+'IV Trimestre'!D14)/4</f>
        <v>6504.4166666666661</v>
      </c>
      <c r="E14" s="21">
        <f>(+'I Trimestre'!E14+'II Trimestre'!E14+'III Trimestre'!E14+'IV Trimestre'!E14)/4</f>
        <v>87954.416666666672</v>
      </c>
      <c r="F14" s="21">
        <f>(+'I Trimestre'!F14+'II Trimestre'!F14+'III Trimestre'!F14+'IV Trimestre'!F14)/4</f>
        <v>42111.666666666664</v>
      </c>
      <c r="G14" s="21">
        <f>(+'I Trimestre'!G14+'II Trimestre'!G14+'III Trimestre'!G14+'IV Trimestre'!G14)/4</f>
        <v>5551.5</v>
      </c>
      <c r="H14" s="21"/>
      <c r="I14" s="21"/>
      <c r="J14" s="21"/>
    </row>
    <row r="15" spans="1:10" x14ac:dyDescent="0.25">
      <c r="A15" s="69" t="s">
        <v>107</v>
      </c>
      <c r="B15" s="21">
        <f t="shared" si="0"/>
        <v>97500.744099070624</v>
      </c>
      <c r="C15" s="21">
        <f>(+'I Trimestre'!C15+'II Trimestre'!C15+'III Trimestre'!C15+'IV Trimestre'!C15)/4</f>
        <v>23172.833333333332</v>
      </c>
      <c r="D15" s="21">
        <f>(+'I Trimestre'!D15+'II Trimestre'!D15+'III Trimestre'!D15+'IV Trimestre'!D15)/4</f>
        <v>6504.4166666666661</v>
      </c>
      <c r="E15" s="21">
        <f>(+'I Trimestre'!E15+'II Trimestre'!E15+'III Trimestre'!E15+'IV Trimestre'!E15)/4</f>
        <v>74327.910765737295</v>
      </c>
      <c r="F15" s="21">
        <f>(+'I Trimestre'!F15+'II Trimestre'!F15+'III Trimestre'!F15+'IV Trimestre'!F15)/4</f>
        <v>42111.666666666664</v>
      </c>
      <c r="G15" s="21">
        <f>(+'I Trimestre'!G15+'II Trimestre'!G15+'III Trimestre'!G15+'IV Trimestre'!G15)/4</f>
        <v>5551.5</v>
      </c>
      <c r="H15" s="21"/>
      <c r="I15" s="21"/>
      <c r="J15" s="21"/>
    </row>
    <row r="16" spans="1:10" x14ac:dyDescent="0.25">
      <c r="A16" s="52" t="s">
        <v>12</v>
      </c>
      <c r="B16" s="21">
        <f t="shared" ref="B16" si="1">+C16+E16</f>
        <v>124476.33333333333</v>
      </c>
      <c r="C16" s="21">
        <f>'IV Trimestre'!C16</f>
        <v>29338.333333333332</v>
      </c>
      <c r="D16" s="21">
        <f>'IV Trimestre'!D16</f>
        <v>8556</v>
      </c>
      <c r="E16" s="21">
        <f>'IV Trimestre'!E16</f>
        <v>95138</v>
      </c>
      <c r="F16" s="21">
        <f>'IV Trimestre'!F16</f>
        <v>48633.5</v>
      </c>
      <c r="G16" s="21">
        <f>'IV Trimestre'!G16</f>
        <v>7051</v>
      </c>
      <c r="H16" s="21"/>
      <c r="I16" s="21"/>
      <c r="J16" s="21"/>
    </row>
    <row r="17" spans="1:25" x14ac:dyDescent="0.25">
      <c r="A17" s="21"/>
      <c r="B17" s="21"/>
      <c r="C17" s="21"/>
      <c r="D17" s="21"/>
      <c r="E17" s="21"/>
      <c r="F17" s="21"/>
      <c r="G17" s="21"/>
      <c r="H17" s="21"/>
      <c r="I17" s="21"/>
      <c r="J17" s="21"/>
    </row>
    <row r="18" spans="1:25" x14ac:dyDescent="0.25">
      <c r="A18" s="51" t="s">
        <v>13</v>
      </c>
      <c r="B18" s="21"/>
      <c r="C18" s="21"/>
      <c r="D18" s="21"/>
      <c r="E18" s="21"/>
      <c r="F18" s="21"/>
      <c r="G18" s="21"/>
      <c r="H18" s="21"/>
      <c r="I18" s="21"/>
      <c r="J18" s="21"/>
    </row>
    <row r="19" spans="1:25" x14ac:dyDescent="0.25">
      <c r="A19" s="52" t="s">
        <v>73</v>
      </c>
      <c r="B19" s="21">
        <f>SUM(C19:G19)</f>
        <v>8491716378.0699997</v>
      </c>
      <c r="C19" s="66">
        <f>+'I Trimestre'!C19+'II Trimestre'!C19+'III Trimestre'!C19+'IV Trimestre'!C19</f>
        <v>3016704152</v>
      </c>
      <c r="D19" s="66"/>
      <c r="E19" s="66">
        <f>+'I Trimestre'!E19+'II Trimestre'!E19+'III Trimestre'!E19+'IV Trimestre'!E19</f>
        <v>4452923569.3400002</v>
      </c>
      <c r="F19" s="66"/>
      <c r="G19" s="21">
        <f>+'I Trimestre'!G19+'II Trimestre'!G19+'III Trimestre'!G19+'IV Trimestre'!G19</f>
        <v>1022088656.73</v>
      </c>
      <c r="H19" s="21">
        <f>+'I Trimestre'!H19+'II Trimestre'!H19+'III Trimestre'!H19+'IV Trimestre'!H19</f>
        <v>0</v>
      </c>
      <c r="I19" s="21">
        <f>+'I Trimestre'!I19+'II Trimestre'!I19+'III Trimestre'!I19+'IV Trimestre'!I19</f>
        <v>0</v>
      </c>
      <c r="J19" s="21"/>
      <c r="T19" s="24" t="s">
        <v>131</v>
      </c>
      <c r="U19" s="41" t="s">
        <v>132</v>
      </c>
      <c r="V19" s="41"/>
      <c r="W19" s="41" t="s">
        <v>133</v>
      </c>
      <c r="X19" s="41"/>
      <c r="Y19" s="24" t="s">
        <v>136</v>
      </c>
    </row>
    <row r="20" spans="1:25" x14ac:dyDescent="0.25">
      <c r="A20" s="52" t="s">
        <v>74</v>
      </c>
      <c r="B20" s="21">
        <f t="shared" ref="B20:B22" si="2">SUM(C20:G20)</f>
        <v>13269992710.619999</v>
      </c>
      <c r="C20" s="66">
        <f>+'I Trimestre'!C20+'II Trimestre'!C20+'III Trimestre'!C20+'IV Trimestre'!C20</f>
        <v>4807405080</v>
      </c>
      <c r="D20" s="66"/>
      <c r="E20" s="66">
        <f>+'I Trimestre'!E20+'II Trimestre'!E20+'III Trimestre'!E20+'IV Trimestre'!E20</f>
        <v>6776922128</v>
      </c>
      <c r="F20" s="66"/>
      <c r="G20" s="21">
        <f>+'I Trimestre'!G20+'II Trimestre'!G20+'III Trimestre'!G20+'IV Trimestre'!G20</f>
        <v>1685665502.6199999</v>
      </c>
      <c r="H20" s="21">
        <f>+'I Trimestre'!H20+'II Trimestre'!H20+'III Trimestre'!H20+'IV Trimestre'!H20</f>
        <v>0</v>
      </c>
      <c r="I20" s="21">
        <f>+'I Trimestre'!I20+'II Trimestre'!I20+'III Trimestre'!I20+'IV Trimestre'!I20</f>
        <v>0</v>
      </c>
      <c r="J20" s="21"/>
      <c r="T20" s="24" t="s">
        <v>2</v>
      </c>
      <c r="U20" s="24" t="s">
        <v>118</v>
      </c>
      <c r="V20" s="24" t="s">
        <v>119</v>
      </c>
      <c r="W20" s="24" t="s">
        <v>134</v>
      </c>
      <c r="X20" s="24" t="s">
        <v>135</v>
      </c>
      <c r="Y20" s="24" t="s">
        <v>137</v>
      </c>
    </row>
    <row r="21" spans="1:25" x14ac:dyDescent="0.25">
      <c r="A21" s="52" t="s">
        <v>75</v>
      </c>
      <c r="B21" s="21">
        <f>SUM(C21:I21)</f>
        <v>11957699061.530001</v>
      </c>
      <c r="C21" s="66">
        <f>+'I Trimestre'!C21+'II Trimestre'!C21+'III Trimestre'!C21+'IV Trimestre'!C21</f>
        <v>4048087458</v>
      </c>
      <c r="D21" s="66"/>
      <c r="E21" s="66">
        <f>+'I Trimestre'!E21+'II Trimestre'!E21+'III Trimestre'!E21+'IV Trimestre'!E21</f>
        <v>5988471140</v>
      </c>
      <c r="F21" s="66"/>
      <c r="G21" s="21">
        <f>+'I Trimestre'!G21+'II Trimestre'!G21+'III Trimestre'!G21+'IV Trimestre'!G21</f>
        <v>1326937530</v>
      </c>
      <c r="H21" s="21">
        <f>+'I Trimestre'!H21+'II Trimestre'!H21+'III Trimestre'!H21+'IV Trimestre'!H21</f>
        <v>12821225.6</v>
      </c>
      <c r="I21" s="21">
        <f>+'I Trimestre'!I21+'II Trimestre'!I21+'III Trimestre'!I21+'IV Trimestre'!I21</f>
        <v>581381707.92999995</v>
      </c>
      <c r="J21" s="21"/>
    </row>
    <row r="22" spans="1:25" x14ac:dyDescent="0.25">
      <c r="A22" s="52" t="s">
        <v>12</v>
      </c>
      <c r="B22" s="21">
        <f t="shared" si="2"/>
        <v>13269992710.619999</v>
      </c>
      <c r="C22" s="68">
        <f>'IV Trimestre'!C22:D22</f>
        <v>4807405080</v>
      </c>
      <c r="D22" s="68"/>
      <c r="E22" s="68">
        <f>'IV Trimestre'!E22:F22</f>
        <v>6776922128</v>
      </c>
      <c r="F22" s="68"/>
      <c r="G22" s="21">
        <f>'IV Trimestre'!G22</f>
        <v>1685665502.6199999</v>
      </c>
      <c r="H22" s="21">
        <f>'IV Trimestre'!H22</f>
        <v>0</v>
      </c>
      <c r="I22" s="21">
        <f>'IV Trimestre'!I22</f>
        <v>0</v>
      </c>
      <c r="J22" s="21"/>
    </row>
    <row r="23" spans="1:25" x14ac:dyDescent="0.25">
      <c r="A23" s="52" t="s">
        <v>76</v>
      </c>
      <c r="B23" s="21">
        <v>0</v>
      </c>
      <c r="C23" s="66">
        <f>+'I Trimestre'!C23+'II Trimestre'!C23+'III Trimestre'!C23+'IV Trimestre'!C23</f>
        <v>0</v>
      </c>
      <c r="D23" s="66"/>
      <c r="E23" s="66">
        <f>+'I Trimestre'!E23+'II Trimestre'!E23+'III Trimestre'!E23+'IV Trimestre'!E23</f>
        <v>5988471140</v>
      </c>
      <c r="F23" s="66"/>
      <c r="G23" s="21">
        <f>+'I Trimestre'!G23+'II Trimestre'!G23+'III Trimestre'!G23+'IV Trimestre'!G23</f>
        <v>1326937530</v>
      </c>
      <c r="H23" s="21">
        <f>+'I Trimestre'!H23+'II Trimestre'!H23+'III Trimestre'!H23+'IV Trimestre'!H23</f>
        <v>0</v>
      </c>
      <c r="I23" s="21">
        <f>+'I Trimestre'!I23+'II Trimestre'!I23+'III Trimestre'!I23+'IV Trimestre'!I23</f>
        <v>0</v>
      </c>
      <c r="J23" s="21"/>
    </row>
    <row r="24" spans="1:25" x14ac:dyDescent="0.25">
      <c r="A24" s="21"/>
      <c r="B24" s="21"/>
      <c r="C24" s="21"/>
      <c r="D24" s="21"/>
      <c r="E24" s="21"/>
      <c r="F24" s="21"/>
      <c r="G24" s="21"/>
      <c r="H24" s="21"/>
      <c r="I24" s="21"/>
      <c r="J24" s="21"/>
    </row>
    <row r="25" spans="1:25" x14ac:dyDescent="0.25">
      <c r="A25" s="51" t="s">
        <v>15</v>
      </c>
      <c r="B25" s="21"/>
      <c r="C25" s="21"/>
      <c r="D25" s="21"/>
      <c r="E25" s="21"/>
      <c r="F25" s="21"/>
      <c r="G25" s="21"/>
      <c r="H25" s="21"/>
      <c r="I25" s="21"/>
      <c r="J25" s="21"/>
    </row>
    <row r="26" spans="1:25" x14ac:dyDescent="0.25">
      <c r="A26" s="52" t="s">
        <v>74</v>
      </c>
      <c r="B26" s="21">
        <f>+'I Trimestre'!B26+'II Trimestre'!B26+'III Trimestre'!B26+'IV Trimestre'!B26</f>
        <v>13269992710.619999</v>
      </c>
      <c r="C26" s="21"/>
      <c r="D26" s="21"/>
      <c r="E26" s="21"/>
      <c r="F26" s="21"/>
      <c r="G26" s="21"/>
      <c r="H26" s="21"/>
      <c r="I26" s="21"/>
      <c r="J26" s="21"/>
    </row>
    <row r="27" spans="1:25" x14ac:dyDescent="0.25">
      <c r="A27" s="52" t="s">
        <v>75</v>
      </c>
      <c r="B27" s="21">
        <f>+'I Trimestre'!B27+'II Trimestre'!B27+'III Trimestre'!B27+'IV Trimestre'!B27</f>
        <v>12487186781</v>
      </c>
      <c r="C27" s="21"/>
      <c r="D27" s="21"/>
      <c r="E27" s="21"/>
      <c r="F27" s="21"/>
      <c r="G27" s="21"/>
      <c r="H27" s="21"/>
      <c r="I27" s="21"/>
      <c r="J27" s="21"/>
    </row>
    <row r="28" spans="1:25" x14ac:dyDescent="0.25">
      <c r="A28" s="21"/>
      <c r="B28" s="21"/>
      <c r="C28" s="21"/>
      <c r="D28" s="21"/>
      <c r="E28" s="21"/>
      <c r="F28" s="21"/>
      <c r="G28" s="21"/>
      <c r="H28" s="21"/>
      <c r="I28" s="21"/>
      <c r="J28" s="21"/>
    </row>
    <row r="29" spans="1:25" x14ac:dyDescent="0.25">
      <c r="A29" s="21" t="s">
        <v>16</v>
      </c>
      <c r="B29" s="21"/>
      <c r="C29" s="21"/>
      <c r="D29" s="21"/>
      <c r="E29" s="21"/>
      <c r="F29" s="21"/>
      <c r="G29" s="21"/>
      <c r="H29" s="21"/>
      <c r="I29" s="21"/>
      <c r="J29" s="21"/>
    </row>
    <row r="30" spans="1:25" x14ac:dyDescent="0.25">
      <c r="A30" s="52" t="s">
        <v>77</v>
      </c>
      <c r="B30" s="21">
        <v>1.4</v>
      </c>
      <c r="C30" s="21">
        <v>1.4</v>
      </c>
      <c r="D30" s="21"/>
      <c r="E30" s="21">
        <v>1.4</v>
      </c>
      <c r="F30" s="21"/>
      <c r="G30" s="21">
        <v>1.4</v>
      </c>
      <c r="H30" s="21"/>
      <c r="I30" s="21"/>
      <c r="J30" s="21"/>
    </row>
    <row r="31" spans="1:25" x14ac:dyDescent="0.25">
      <c r="A31" s="52" t="s">
        <v>78</v>
      </c>
      <c r="B31" s="21">
        <v>1.47</v>
      </c>
      <c r="C31" s="21">
        <v>1.47</v>
      </c>
      <c r="D31" s="21"/>
      <c r="E31" s="21">
        <v>1.47</v>
      </c>
      <c r="F31" s="21"/>
      <c r="G31" s="21">
        <v>1.47</v>
      </c>
      <c r="H31" s="21"/>
      <c r="I31" s="21"/>
      <c r="J31" s="21"/>
    </row>
    <row r="32" spans="1:25" x14ac:dyDescent="0.25">
      <c r="A32" s="52" t="s">
        <v>19</v>
      </c>
      <c r="B32" s="21">
        <v>73492</v>
      </c>
      <c r="C32" s="21">
        <v>73492</v>
      </c>
      <c r="D32" s="21">
        <v>73492</v>
      </c>
      <c r="E32" s="21">
        <v>73492</v>
      </c>
      <c r="F32" s="21">
        <v>73492</v>
      </c>
      <c r="G32" s="21">
        <v>73492</v>
      </c>
      <c r="H32" s="21"/>
      <c r="I32" s="21"/>
      <c r="J32" s="21"/>
    </row>
    <row r="33" spans="1:10" x14ac:dyDescent="0.25">
      <c r="A33" s="21"/>
      <c r="B33" s="21"/>
      <c r="C33" s="21"/>
      <c r="D33" s="21"/>
      <c r="E33" s="21"/>
      <c r="F33" s="21"/>
      <c r="G33" s="21"/>
      <c r="H33" s="21"/>
      <c r="I33" s="21"/>
      <c r="J33" s="21"/>
    </row>
    <row r="34" spans="1:10" x14ac:dyDescent="0.25">
      <c r="A34" s="53" t="s">
        <v>20</v>
      </c>
      <c r="B34" s="21"/>
      <c r="C34" s="21"/>
      <c r="D34" s="21"/>
      <c r="E34" s="21"/>
      <c r="F34" s="21"/>
      <c r="G34" s="21"/>
      <c r="H34" s="21"/>
      <c r="I34" s="21"/>
      <c r="J34" s="21"/>
    </row>
    <row r="35" spans="1:10" x14ac:dyDescent="0.25">
      <c r="A35" s="21" t="s">
        <v>79</v>
      </c>
      <c r="B35" s="21">
        <f>B19/B30</f>
        <v>6065511698.6214285</v>
      </c>
      <c r="C35" s="21">
        <f t="shared" ref="C35:G36" si="3">C19/C30</f>
        <v>2154788680</v>
      </c>
      <c r="D35" s="21"/>
      <c r="E35" s="21">
        <f t="shared" si="3"/>
        <v>3180659692.3857145</v>
      </c>
      <c r="F35" s="21"/>
      <c r="G35" s="21">
        <f t="shared" si="3"/>
        <v>730063326.23571432</v>
      </c>
      <c r="H35" s="21"/>
      <c r="I35" s="21"/>
      <c r="J35" s="21"/>
    </row>
    <row r="36" spans="1:10" x14ac:dyDescent="0.25">
      <c r="A36" s="21" t="s">
        <v>80</v>
      </c>
      <c r="B36" s="21">
        <f>B21/B31</f>
        <v>8134489157.5034018</v>
      </c>
      <c r="C36" s="21">
        <f t="shared" ref="C36:E36" si="4">C21/C31</f>
        <v>2753800991.8367348</v>
      </c>
      <c r="D36" s="21"/>
      <c r="E36" s="21">
        <f t="shared" si="4"/>
        <v>4073789891.1564627</v>
      </c>
      <c r="F36" s="21"/>
      <c r="G36" s="21">
        <f t="shared" si="3"/>
        <v>1146711226.2721088</v>
      </c>
      <c r="H36" s="21"/>
      <c r="I36" s="21"/>
      <c r="J36" s="21"/>
    </row>
    <row r="37" spans="1:10" x14ac:dyDescent="0.25">
      <c r="A37" s="21" t="s">
        <v>81</v>
      </c>
      <c r="B37" s="21">
        <f>B35/B10</f>
        <v>54761.584042277631</v>
      </c>
      <c r="C37" s="21">
        <f t="shared" ref="C37:G37" si="5">C35/C10</f>
        <v>74697.581363638994</v>
      </c>
      <c r="D37" s="21"/>
      <c r="E37" s="21">
        <f>E35/(E10+F10)</f>
        <v>31705.719891734945</v>
      </c>
      <c r="F37" s="21"/>
      <c r="G37" s="21">
        <f t="shared" si="5"/>
        <v>150296.10421733698</v>
      </c>
      <c r="H37" s="21"/>
      <c r="I37" s="21"/>
      <c r="J37" s="21"/>
    </row>
    <row r="38" spans="1:10" x14ac:dyDescent="0.25">
      <c r="A38" s="21" t="s">
        <v>82</v>
      </c>
      <c r="B38" s="21">
        <f>B36/B14</f>
        <v>69904.796814370289</v>
      </c>
      <c r="C38" s="21">
        <f t="shared" ref="C38:G38" si="6">C36/C14</f>
        <v>96927.850004519452</v>
      </c>
      <c r="D38" s="21"/>
      <c r="E38" s="21">
        <f>E36/(E14+F14)</f>
        <v>31320.923846965965</v>
      </c>
      <c r="F38" s="21"/>
      <c r="G38" s="54">
        <f t="shared" si="6"/>
        <v>206558.80865930088</v>
      </c>
      <c r="H38" s="54"/>
      <c r="I38" s="54"/>
      <c r="J38" s="21"/>
    </row>
    <row r="39" spans="1:10" x14ac:dyDescent="0.25">
      <c r="A39" s="21"/>
      <c r="B39" s="21"/>
      <c r="C39" s="21"/>
      <c r="D39" s="21"/>
      <c r="E39" s="21"/>
      <c r="F39" s="21"/>
      <c r="G39" s="21"/>
      <c r="H39" s="21"/>
      <c r="I39" s="21"/>
      <c r="J39" s="21"/>
    </row>
    <row r="40" spans="1:10" x14ac:dyDescent="0.25">
      <c r="A40" s="53" t="s">
        <v>25</v>
      </c>
      <c r="B40" s="21"/>
      <c r="C40" s="21"/>
      <c r="D40" s="21"/>
      <c r="E40" s="21"/>
      <c r="F40" s="21"/>
      <c r="G40" s="21"/>
      <c r="H40" s="21"/>
      <c r="I40" s="21"/>
      <c r="J40" s="21"/>
    </row>
    <row r="41" spans="1:10" x14ac:dyDescent="0.25">
      <c r="A41" s="21"/>
      <c r="B41" s="21"/>
      <c r="C41" s="21"/>
      <c r="D41" s="21"/>
      <c r="E41" s="21"/>
      <c r="F41" s="21"/>
      <c r="G41" s="21"/>
      <c r="H41" s="21"/>
      <c r="I41" s="21"/>
      <c r="J41" s="21"/>
    </row>
    <row r="42" spans="1:10" x14ac:dyDescent="0.25">
      <c r="A42" s="21" t="s">
        <v>26</v>
      </c>
      <c r="B42" s="21"/>
      <c r="C42" s="21"/>
      <c r="D42" s="21"/>
      <c r="E42" s="21"/>
      <c r="F42" s="21"/>
      <c r="G42" s="21"/>
      <c r="H42" s="21"/>
      <c r="I42" s="21"/>
      <c r="J42" s="21"/>
    </row>
    <row r="43" spans="1:10" x14ac:dyDescent="0.25">
      <c r="A43" s="21" t="s">
        <v>27</v>
      </c>
      <c r="B43" s="21">
        <f>(B13/B32)*100</f>
        <v>164.43592499863931</v>
      </c>
      <c r="C43" s="21">
        <f t="shared" ref="C43:G43" si="7">(C13/C32)*100</f>
        <v>34.982379034452734</v>
      </c>
      <c r="D43" s="21">
        <f t="shared" si="7"/>
        <v>11.64208349208077</v>
      </c>
      <c r="E43" s="21">
        <f t="shared" si="7"/>
        <v>129.45354596418656</v>
      </c>
      <c r="F43" s="21">
        <f t="shared" si="7"/>
        <v>66.175229957002131</v>
      </c>
      <c r="G43" s="21">
        <f t="shared" si="7"/>
        <v>9.5031885556704587</v>
      </c>
      <c r="H43" s="21"/>
      <c r="I43" s="21"/>
      <c r="J43" s="21"/>
    </row>
    <row r="44" spans="1:10" x14ac:dyDescent="0.25">
      <c r="A44" s="21" t="s">
        <v>28</v>
      </c>
      <c r="B44" s="21">
        <f>(B15/B32)*100</f>
        <v>132.66851371451401</v>
      </c>
      <c r="C44" s="21">
        <f t="shared" ref="C44:G44" si="8">(C15/C32)*100</f>
        <v>31.531096355158837</v>
      </c>
      <c r="D44" s="21">
        <f t="shared" si="8"/>
        <v>8.850509806055987</v>
      </c>
      <c r="E44" s="21">
        <f t="shared" si="8"/>
        <v>101.13741735935515</v>
      </c>
      <c r="F44" s="21">
        <f t="shared" si="8"/>
        <v>57.301021426368401</v>
      </c>
      <c r="G44" s="21">
        <f t="shared" si="8"/>
        <v>7.5538834158820016</v>
      </c>
      <c r="H44" s="21"/>
      <c r="I44" s="21"/>
      <c r="J44" s="21"/>
    </row>
    <row r="45" spans="1:10" x14ac:dyDescent="0.25">
      <c r="A45" s="21"/>
      <c r="B45" s="21"/>
      <c r="C45" s="21"/>
      <c r="D45" s="21"/>
      <c r="E45" s="21"/>
      <c r="F45" s="21"/>
      <c r="G45" s="21"/>
      <c r="H45" s="21"/>
      <c r="I45" s="21"/>
      <c r="J45" s="21"/>
    </row>
    <row r="46" spans="1:10" x14ac:dyDescent="0.25">
      <c r="A46" s="21" t="s">
        <v>29</v>
      </c>
      <c r="B46" s="21"/>
      <c r="C46" s="21"/>
      <c r="D46" s="21"/>
      <c r="E46" s="21"/>
      <c r="F46" s="21"/>
      <c r="G46" s="21"/>
      <c r="H46" s="21"/>
      <c r="I46" s="21"/>
      <c r="J46" s="21"/>
    </row>
    <row r="47" spans="1:10" x14ac:dyDescent="0.25">
      <c r="A47" s="21" t="s">
        <v>30</v>
      </c>
      <c r="B47" s="21">
        <f>B14/B12*100</f>
        <v>91.904548158990735</v>
      </c>
      <c r="C47" s="21">
        <f t="shared" ref="C47:G47" si="9">C14/C12*100</f>
        <v>90.25806929854285</v>
      </c>
      <c r="D47" s="21">
        <f t="shared" si="9"/>
        <v>76.021700171419653</v>
      </c>
      <c r="E47" s="21">
        <f t="shared" si="9"/>
        <v>92.449301716103633</v>
      </c>
      <c r="F47" s="21">
        <f t="shared" si="9"/>
        <v>86.589833482407528</v>
      </c>
      <c r="G47" s="21">
        <f t="shared" si="9"/>
        <v>79.487883162906144</v>
      </c>
      <c r="H47" s="21"/>
      <c r="I47" s="21"/>
      <c r="J47" s="21"/>
    </row>
    <row r="48" spans="1:10" x14ac:dyDescent="0.25">
      <c r="A48" s="21" t="s">
        <v>31</v>
      </c>
      <c r="B48" s="21">
        <f>B21/B20*100</f>
        <v>90.110818613790443</v>
      </c>
      <c r="C48" s="21">
        <f>C21/C20*100</f>
        <v>84.205249830954543</v>
      </c>
      <c r="D48" s="21"/>
      <c r="E48" s="21">
        <f>E21/E20*100</f>
        <v>88.36564781020013</v>
      </c>
      <c r="F48" s="21"/>
      <c r="G48" s="21">
        <f>G21/G20*100</f>
        <v>78.718911191904013</v>
      </c>
      <c r="H48" s="21"/>
      <c r="I48" s="21"/>
      <c r="J48" s="21"/>
    </row>
    <row r="49" spans="1:10" x14ac:dyDescent="0.25">
      <c r="A49" s="21" t="s">
        <v>32</v>
      </c>
      <c r="B49" s="21">
        <f>AVERAGE(B47:B48)</f>
        <v>91.007683386390596</v>
      </c>
      <c r="C49" s="21">
        <f>(C47+D47+C48)/3</f>
        <v>83.495006433639006</v>
      </c>
      <c r="D49" s="21"/>
      <c r="E49" s="21">
        <f>(E47+F47+E48)/3</f>
        <v>89.134927669570445</v>
      </c>
      <c r="F49" s="21"/>
      <c r="G49" s="21">
        <f t="shared" ref="G49" si="10">AVERAGE(G47:G48)</f>
        <v>79.103397177405071</v>
      </c>
      <c r="H49" s="21"/>
      <c r="I49" s="21"/>
      <c r="J49" s="21"/>
    </row>
    <row r="50" spans="1:10" x14ac:dyDescent="0.25">
      <c r="A50" s="21"/>
      <c r="B50" s="21"/>
      <c r="C50" s="21"/>
      <c r="D50" s="21"/>
      <c r="E50" s="21"/>
      <c r="F50" s="21"/>
      <c r="G50" s="21"/>
      <c r="H50" s="21"/>
      <c r="I50" s="21"/>
      <c r="J50" s="21"/>
    </row>
    <row r="51" spans="1:10" x14ac:dyDescent="0.25">
      <c r="A51" s="21" t="s">
        <v>33</v>
      </c>
      <c r="B51" s="21"/>
      <c r="C51" s="21"/>
      <c r="D51" s="21"/>
      <c r="E51" s="21"/>
      <c r="F51" s="21"/>
      <c r="G51" s="21"/>
      <c r="H51" s="21"/>
      <c r="I51" s="21"/>
      <c r="J51" s="21"/>
    </row>
    <row r="52" spans="1:10" x14ac:dyDescent="0.25">
      <c r="A52" s="21" t="s">
        <v>34</v>
      </c>
      <c r="B52" s="21">
        <f>((B14/(B16))*100)</f>
        <v>93.483834945866548</v>
      </c>
      <c r="C52" s="21">
        <f t="shared" ref="C52:G52" si="11">((C14/(C16))*100)</f>
        <v>96.838607055615526</v>
      </c>
      <c r="D52" s="21">
        <f t="shared" si="11"/>
        <v>76.021700171419653</v>
      </c>
      <c r="E52" s="21">
        <f t="shared" si="11"/>
        <v>92.449301716103633</v>
      </c>
      <c r="F52" s="21">
        <f t="shared" si="11"/>
        <v>86.589833482407528</v>
      </c>
      <c r="G52" s="21">
        <f t="shared" si="11"/>
        <v>78.733512976882707</v>
      </c>
      <c r="H52" s="21"/>
      <c r="I52" s="21"/>
      <c r="J52" s="21"/>
    </row>
    <row r="53" spans="1:10" x14ac:dyDescent="0.25">
      <c r="A53" s="21" t="s">
        <v>35</v>
      </c>
      <c r="B53" s="21">
        <f>B21/B22*100</f>
        <v>90.110818613790443</v>
      </c>
      <c r="C53" s="21">
        <f>C21/C22*100</f>
        <v>84.205249830954543</v>
      </c>
      <c r="D53" s="21"/>
      <c r="E53" s="21">
        <f>E21/E22*100</f>
        <v>88.36564781020013</v>
      </c>
      <c r="F53" s="21"/>
      <c r="G53" s="21">
        <f>G21/G22*100</f>
        <v>78.718911191904013</v>
      </c>
      <c r="H53" s="21"/>
      <c r="I53" s="21"/>
      <c r="J53" s="21"/>
    </row>
    <row r="54" spans="1:10" x14ac:dyDescent="0.25">
      <c r="A54" s="21" t="s">
        <v>36</v>
      </c>
      <c r="B54" s="21">
        <f>(B52+B53)/2</f>
        <v>91.797326779828495</v>
      </c>
      <c r="C54" s="21">
        <f>(C52+D52+C53)/3</f>
        <v>85.688519019329917</v>
      </c>
      <c r="D54" s="21"/>
      <c r="E54" s="21">
        <f>(E52+F52+E53)/3</f>
        <v>89.134927669570445</v>
      </c>
      <c r="F54" s="21"/>
      <c r="G54" s="21">
        <f t="shared" ref="G54" si="12">(G52+G53)/2</f>
        <v>78.726212084393353</v>
      </c>
      <c r="H54" s="21"/>
      <c r="I54" s="21"/>
      <c r="J54" s="21"/>
    </row>
    <row r="55" spans="1:10" x14ac:dyDescent="0.25">
      <c r="A55" s="21"/>
      <c r="B55" s="21"/>
      <c r="C55" s="21"/>
      <c r="D55" s="21"/>
      <c r="E55" s="21"/>
      <c r="F55" s="21"/>
      <c r="G55" s="21"/>
      <c r="H55" s="21"/>
      <c r="I55" s="21"/>
      <c r="J55" s="21"/>
    </row>
    <row r="56" spans="1:10" x14ac:dyDescent="0.25">
      <c r="A56" s="21" t="s">
        <v>110</v>
      </c>
      <c r="B56" s="21"/>
      <c r="C56" s="21"/>
      <c r="D56" s="21"/>
      <c r="E56" s="21"/>
      <c r="F56" s="21"/>
      <c r="G56" s="21"/>
      <c r="H56" s="21"/>
      <c r="I56" s="21"/>
      <c r="J56" s="21"/>
    </row>
    <row r="57" spans="1:10" x14ac:dyDescent="0.25">
      <c r="A57" s="21" t="s">
        <v>37</v>
      </c>
      <c r="B57" s="21" t="s">
        <v>138</v>
      </c>
      <c r="C57" s="21" t="s">
        <v>138</v>
      </c>
      <c r="D57" s="21" t="s">
        <v>138</v>
      </c>
      <c r="E57" s="21" t="s">
        <v>138</v>
      </c>
      <c r="F57" s="21" t="s">
        <v>138</v>
      </c>
      <c r="G57" s="21" t="s">
        <v>138</v>
      </c>
      <c r="H57" s="21"/>
      <c r="I57" s="21"/>
      <c r="J57" s="21"/>
    </row>
    <row r="58" spans="1:10" x14ac:dyDescent="0.25">
      <c r="A58" s="21"/>
      <c r="B58" s="21"/>
      <c r="C58" s="21"/>
      <c r="D58" s="21"/>
      <c r="E58" s="21"/>
      <c r="F58" s="21"/>
      <c r="G58" s="21"/>
      <c r="H58" s="21"/>
      <c r="I58" s="21"/>
      <c r="J58" s="21"/>
    </row>
    <row r="59" spans="1:10" x14ac:dyDescent="0.25">
      <c r="A59" s="21" t="s">
        <v>38</v>
      </c>
      <c r="B59" s="21"/>
      <c r="C59" s="21"/>
      <c r="D59" s="21"/>
      <c r="E59" s="21"/>
      <c r="F59" s="21"/>
      <c r="G59" s="21"/>
      <c r="H59" s="21"/>
      <c r="I59" s="21"/>
      <c r="J59" s="21"/>
    </row>
    <row r="60" spans="1:10" x14ac:dyDescent="0.25">
      <c r="A60" s="21" t="s">
        <v>39</v>
      </c>
      <c r="B60" s="21">
        <f>((B14/B10)-1)*100</f>
        <v>5.0586617271541456</v>
      </c>
      <c r="C60" s="21">
        <f t="shared" ref="C60:G60" si="13">((C14/C10)-1)*100</f>
        <v>-1.5114310640682693</v>
      </c>
      <c r="D60" s="21">
        <f t="shared" si="13"/>
        <v>1.0368663594469973</v>
      </c>
      <c r="E60" s="21">
        <f t="shared" si="13"/>
        <v>7.3723478713794144</v>
      </c>
      <c r="F60" s="21">
        <f t="shared" si="13"/>
        <v>128.83251673202497</v>
      </c>
      <c r="G60" s="21">
        <f t="shared" si="13"/>
        <v>14.287184765826044</v>
      </c>
      <c r="H60" s="21"/>
      <c r="I60" s="21"/>
      <c r="J60" s="21"/>
    </row>
    <row r="61" spans="1:10" x14ac:dyDescent="0.25">
      <c r="A61" s="21" t="s">
        <v>40</v>
      </c>
      <c r="B61" s="21">
        <f>((B36/B35)-1)*100</f>
        <v>34.110517985683074</v>
      </c>
      <c r="C61" s="21">
        <f t="shared" ref="C61:G61" si="14">((C36/C35)-1)*100</f>
        <v>27.799120971655313</v>
      </c>
      <c r="D61" s="21"/>
      <c r="E61" s="21">
        <f t="shared" si="14"/>
        <v>28.080030092777353</v>
      </c>
      <c r="F61" s="21"/>
      <c r="G61" s="21">
        <f t="shared" si="14"/>
        <v>57.070104066817919</v>
      </c>
      <c r="H61" s="21"/>
      <c r="I61" s="21"/>
      <c r="J61" s="21"/>
    </row>
    <row r="62" spans="1:10" x14ac:dyDescent="0.25">
      <c r="A62" s="21" t="s">
        <v>41</v>
      </c>
      <c r="B62" s="21">
        <f>((B38/B37)-1)*100</f>
        <v>27.652985275958475</v>
      </c>
      <c r="C62" s="21">
        <f t="shared" ref="C62:G62" si="15">((C38/C37)-1)*100</f>
        <v>29.760359351744192</v>
      </c>
      <c r="D62" s="21"/>
      <c r="E62" s="21">
        <f t="shared" si="15"/>
        <v>-1.2136486605033303</v>
      </c>
      <c r="F62" s="21"/>
      <c r="G62" s="21">
        <f t="shared" si="15"/>
        <v>37.434572728914326</v>
      </c>
      <c r="H62" s="21"/>
      <c r="I62" s="21"/>
      <c r="J62" s="21"/>
    </row>
    <row r="63" spans="1:10" x14ac:dyDescent="0.25">
      <c r="A63" s="21"/>
      <c r="B63" s="21"/>
      <c r="C63" s="21"/>
      <c r="D63" s="21"/>
      <c r="E63" s="21"/>
      <c r="F63" s="21"/>
      <c r="G63" s="21"/>
      <c r="H63" s="21"/>
      <c r="I63" s="21"/>
      <c r="J63" s="21"/>
    </row>
    <row r="64" spans="1:10" x14ac:dyDescent="0.25">
      <c r="A64" s="21" t="s">
        <v>42</v>
      </c>
      <c r="B64" s="21"/>
      <c r="C64" s="21"/>
      <c r="D64" s="21"/>
      <c r="E64" s="21"/>
      <c r="F64" s="21"/>
      <c r="G64" s="21"/>
      <c r="H64" s="21"/>
      <c r="I64" s="21"/>
      <c r="J64" s="21"/>
    </row>
    <row r="65" spans="1:10" x14ac:dyDescent="0.25">
      <c r="A65" s="21" t="s">
        <v>43</v>
      </c>
      <c r="B65" s="21">
        <f>B20/(B12*12)</f>
        <v>8733.7978487465971</v>
      </c>
      <c r="C65" s="21">
        <f>C20/((C12+D12)*12)</f>
        <v>10007.088009991674</v>
      </c>
      <c r="D65" s="21"/>
      <c r="E65" s="21">
        <f t="shared" ref="E65:G65" si="16">E20/((E12+F12)*12)</f>
        <v>3928.0630073878806</v>
      </c>
      <c r="F65" s="21"/>
      <c r="G65" s="21">
        <f t="shared" si="16"/>
        <v>20113.18</v>
      </c>
      <c r="H65" s="21"/>
      <c r="I65" s="21"/>
      <c r="J65" s="21"/>
    </row>
    <row r="66" spans="1:10" x14ac:dyDescent="0.25">
      <c r="A66" s="21" t="s">
        <v>44</v>
      </c>
      <c r="B66" s="21">
        <f>B21/(B14*12)</f>
        <v>8563.3376097603596</v>
      </c>
      <c r="C66" s="21">
        <f>C21/((C14+D14)*12)</f>
        <v>9661.6985844294395</v>
      </c>
      <c r="D66" s="21"/>
      <c r="E66" s="21">
        <f t="shared" ref="E66:G66" si="17">E21/((E14+F14)*12)</f>
        <v>3836.8131712533309</v>
      </c>
      <c r="F66" s="21"/>
      <c r="G66" s="21">
        <f t="shared" si="17"/>
        <v>19918.603530577322</v>
      </c>
      <c r="H66" s="21"/>
      <c r="I66" s="21"/>
      <c r="J66" s="21"/>
    </row>
    <row r="67" spans="1:10" x14ac:dyDescent="0.25">
      <c r="A67" s="21" t="s">
        <v>45</v>
      </c>
      <c r="B67" s="21">
        <f>(B65/B66)*B49</f>
        <v>92.8192657584258</v>
      </c>
      <c r="C67" s="21">
        <f>(C65/C66)*C49</f>
        <v>86.479812061492552</v>
      </c>
      <c r="D67" s="21"/>
      <c r="E67" s="21">
        <f>(E65/E66)*E49</f>
        <v>91.254798296749399</v>
      </c>
      <c r="F67" s="21"/>
      <c r="G67" s="21">
        <f>(G65/G66)*G49</f>
        <v>79.876125030464223</v>
      </c>
      <c r="H67" s="21"/>
      <c r="I67" s="21"/>
      <c r="J67" s="21"/>
    </row>
    <row r="68" spans="1:10" x14ac:dyDescent="0.25">
      <c r="A68" s="21" t="s">
        <v>111</v>
      </c>
      <c r="B68" s="21">
        <f>B20/B12</f>
        <v>104805.57418495916</v>
      </c>
      <c r="C68" s="21">
        <f>C20/(C12+D12)</f>
        <v>120085.05611990008</v>
      </c>
      <c r="D68" s="21"/>
      <c r="E68" s="21">
        <f t="shared" ref="E68:G68" si="18">E20/(E12+F12)</f>
        <v>47136.756088654569</v>
      </c>
      <c r="F68" s="21"/>
      <c r="G68" s="21">
        <f t="shared" si="18"/>
        <v>241358.16</v>
      </c>
      <c r="H68" s="21"/>
      <c r="I68" s="21"/>
      <c r="J68" s="21"/>
    </row>
    <row r="69" spans="1:10" x14ac:dyDescent="0.25">
      <c r="A69" s="21" t="s">
        <v>112</v>
      </c>
      <c r="B69" s="21">
        <f>B21/B14</f>
        <v>102760.05131712432</v>
      </c>
      <c r="C69" s="21">
        <f>C21/(C14+D14)</f>
        <v>115940.38301315327</v>
      </c>
      <c r="D69" s="21"/>
      <c r="E69" s="21">
        <f t="shared" ref="E69" si="19">E21/(E14+F14)</f>
        <v>46041.758055039965</v>
      </c>
      <c r="F69" s="21"/>
      <c r="G69" s="21">
        <f>G21/(G14)</f>
        <v>239023.24236692785</v>
      </c>
      <c r="H69" s="21"/>
      <c r="I69" s="21"/>
      <c r="J69" s="21"/>
    </row>
    <row r="70" spans="1:10" x14ac:dyDescent="0.25">
      <c r="A70" s="21"/>
      <c r="B70" s="21"/>
      <c r="C70" s="21"/>
      <c r="D70" s="21"/>
      <c r="E70" s="21"/>
      <c r="F70" s="21"/>
      <c r="G70" s="21"/>
      <c r="H70" s="21"/>
      <c r="I70" s="21"/>
      <c r="J70" s="21"/>
    </row>
    <row r="71" spans="1:10" x14ac:dyDescent="0.25">
      <c r="A71" s="21" t="s">
        <v>46</v>
      </c>
      <c r="B71" s="21"/>
      <c r="C71" s="21"/>
      <c r="D71" s="21"/>
      <c r="E71" s="21"/>
      <c r="F71" s="21"/>
      <c r="G71" s="21"/>
      <c r="H71" s="21"/>
      <c r="I71" s="21"/>
      <c r="J71" s="21"/>
    </row>
    <row r="72" spans="1:10" x14ac:dyDescent="0.25">
      <c r="A72" s="21" t="s">
        <v>47</v>
      </c>
      <c r="B72" s="21">
        <f>(B27/B26)*100</f>
        <v>94.1009317285192</v>
      </c>
      <c r="C72" s="21"/>
      <c r="D72" s="21"/>
      <c r="E72" s="21"/>
      <c r="F72" s="21"/>
      <c r="G72" s="21"/>
      <c r="H72" s="21"/>
      <c r="I72" s="21"/>
      <c r="J72" s="21"/>
    </row>
    <row r="73" spans="1:10" x14ac:dyDescent="0.25">
      <c r="A73" s="21" t="s">
        <v>48</v>
      </c>
      <c r="B73" s="21">
        <f>(B21/B27)*100</f>
        <v>95.75975174588045</v>
      </c>
      <c r="C73" s="21"/>
      <c r="D73" s="21"/>
      <c r="E73" s="21"/>
      <c r="F73" s="21"/>
      <c r="G73" s="21"/>
      <c r="H73" s="21"/>
      <c r="I73" s="21"/>
      <c r="J73" s="21"/>
    </row>
    <row r="74" spans="1:10" ht="15.75" thickBot="1" x14ac:dyDescent="0.3">
      <c r="A74" s="55"/>
      <c r="B74" s="55"/>
      <c r="C74" s="55"/>
      <c r="D74" s="55"/>
      <c r="E74" s="55"/>
      <c r="F74" s="55"/>
      <c r="G74" s="55"/>
      <c r="H74" s="55"/>
      <c r="I74" s="55"/>
      <c r="J74" s="21"/>
    </row>
    <row r="75" spans="1:10" ht="15.75" thickTop="1" x14ac:dyDescent="0.25">
      <c r="A75" s="31" t="s">
        <v>122</v>
      </c>
      <c r="B75" s="21"/>
      <c r="C75" s="21"/>
      <c r="D75" s="21"/>
      <c r="E75" s="21"/>
      <c r="F75" s="21"/>
      <c r="G75" s="21"/>
      <c r="H75" s="21"/>
      <c r="I75" s="21"/>
      <c r="J75" s="21"/>
    </row>
    <row r="76" spans="1:10" x14ac:dyDescent="0.25">
      <c r="A76" s="21" t="s">
        <v>60</v>
      </c>
      <c r="B76" s="21"/>
      <c r="C76" s="21"/>
      <c r="D76" s="21"/>
      <c r="E76" s="21"/>
      <c r="F76" s="21"/>
      <c r="G76" s="21"/>
      <c r="H76" s="21"/>
      <c r="I76" s="21"/>
      <c r="J76" s="21"/>
    </row>
    <row r="77" spans="1:10" x14ac:dyDescent="0.25">
      <c r="A77" s="12" t="s">
        <v>61</v>
      </c>
    </row>
    <row r="78" spans="1:10" x14ac:dyDescent="0.25">
      <c r="A78" s="12" t="s">
        <v>113</v>
      </c>
    </row>
    <row r="79" spans="1:10" x14ac:dyDescent="0.25">
      <c r="A79" s="12" t="s">
        <v>129</v>
      </c>
    </row>
    <row r="80" spans="1:10" x14ac:dyDescent="0.25">
      <c r="A80" s="12" t="s">
        <v>123</v>
      </c>
    </row>
    <row r="81" spans="1:1" x14ac:dyDescent="0.25">
      <c r="A81" s="12" t="s">
        <v>121</v>
      </c>
    </row>
    <row r="82" spans="1:1" x14ac:dyDescent="0.25">
      <c r="A82" s="12" t="s">
        <v>130</v>
      </c>
    </row>
  </sheetData>
  <mergeCells count="18">
    <mergeCell ref="W19:X19"/>
    <mergeCell ref="U19:V19"/>
    <mergeCell ref="I4:I5"/>
    <mergeCell ref="C23:D23"/>
    <mergeCell ref="E23:F23"/>
    <mergeCell ref="E19:F19"/>
    <mergeCell ref="E20:F20"/>
    <mergeCell ref="E21:F21"/>
    <mergeCell ref="E22:F22"/>
    <mergeCell ref="C19:D19"/>
    <mergeCell ref="C20:D20"/>
    <mergeCell ref="C21:D21"/>
    <mergeCell ref="C22:D22"/>
    <mergeCell ref="A2:G2"/>
    <mergeCell ref="A4:A5"/>
    <mergeCell ref="C5:D5"/>
    <mergeCell ref="E5:F5"/>
    <mergeCell ref="C4:H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8" sqref="O8"/>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 Trimestre</vt:lpstr>
      <vt:lpstr>II Trimestre</vt:lpstr>
      <vt:lpstr>III Trimestre</vt:lpstr>
      <vt:lpstr>IV Trimestre</vt:lpstr>
      <vt:lpstr>I Semestre</vt:lpstr>
      <vt:lpstr>III T Acumulado</vt:lpstr>
      <vt:lpstr>Anual</vt:lpstr>
      <vt:lpstr>Observaciones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2012-02-08T21:16:28Z</dcterms:created>
  <dcterms:modified xsi:type="dcterms:W3CDTF">2013-10-29T20:46:11Z</dcterms:modified>
</cp:coreProperties>
</file>