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driguez\Documents\Hermes Cliente\files\"/>
    </mc:Choice>
  </mc:AlternateContent>
  <bookViews>
    <workbookView xWindow="600" yWindow="585" windowWidth="17400" windowHeight="11505" tabRatio="913" activeTab="6"/>
  </bookViews>
  <sheets>
    <sheet name="I trimestre" sheetId="1" r:id="rId1"/>
    <sheet name="II Trimestre" sheetId="3" r:id="rId2"/>
    <sheet name="III Trimestre" sheetId="6" r:id="rId3"/>
    <sheet name="IV Trimestre" sheetId="8" r:id="rId4"/>
    <sheet name="Semestral" sheetId="11" r:id="rId5"/>
    <sheet name="Tercer Trimestre Acumulado" sheetId="10" r:id="rId6"/>
    <sheet name="Anual" sheetId="9" r:id="rId7"/>
    <sheet name="Calculo gastos prog. x Trim" sheetId="13" state="hidden" r:id="rId8"/>
    <sheet name="Calculo Ben. prog. x Trim " sheetId="15" state="hidden" r:id="rId9"/>
  </sheets>
  <calcPr calcId="152511"/>
</workbook>
</file>

<file path=xl/calcChain.xml><?xml version="1.0" encoding="utf-8"?>
<calcChain xmlns="http://schemas.openxmlformats.org/spreadsheetml/2006/main">
  <c r="E68" i="8" l="1"/>
  <c r="D68" i="8"/>
  <c r="E68" i="6"/>
  <c r="D68" i="6"/>
  <c r="E68" i="3"/>
  <c r="D68" i="3"/>
  <c r="E68" i="1"/>
  <c r="F60" i="8" l="1"/>
  <c r="G60" i="8"/>
  <c r="D61" i="8"/>
  <c r="E61" i="8"/>
  <c r="F61" i="8"/>
  <c r="G61" i="8"/>
  <c r="F63" i="8"/>
  <c r="G63" i="8"/>
  <c r="D64" i="8"/>
  <c r="E64" i="8"/>
  <c r="F64" i="8"/>
  <c r="G64" i="8"/>
  <c r="F60" i="6"/>
  <c r="G60" i="6"/>
  <c r="D61" i="6"/>
  <c r="E61" i="6"/>
  <c r="F61" i="6"/>
  <c r="G61" i="6"/>
  <c r="F63" i="6"/>
  <c r="G63" i="6"/>
  <c r="D64" i="6"/>
  <c r="E64" i="6"/>
  <c r="F64" i="6"/>
  <c r="G64" i="6"/>
  <c r="F60" i="3"/>
  <c r="G60" i="3"/>
  <c r="D61" i="3"/>
  <c r="E61" i="3"/>
  <c r="F61" i="3"/>
  <c r="G61" i="3"/>
  <c r="F63" i="3"/>
  <c r="G63" i="3"/>
  <c r="D64" i="3"/>
  <c r="E64" i="3"/>
  <c r="F64" i="3"/>
  <c r="G64" i="3"/>
  <c r="E60" i="1"/>
  <c r="F60" i="1"/>
  <c r="G60" i="1"/>
  <c r="D61" i="1"/>
  <c r="E61" i="1"/>
  <c r="F61" i="1"/>
  <c r="G61" i="1"/>
  <c r="E63" i="1"/>
  <c r="F63" i="1"/>
  <c r="G63" i="1"/>
  <c r="D64" i="1"/>
  <c r="E64" i="1"/>
  <c r="F64" i="1"/>
  <c r="G64" i="1"/>
  <c r="F9" i="9" l="1"/>
  <c r="G22" i="1" l="1"/>
  <c r="F22" i="1"/>
  <c r="E22" i="1"/>
  <c r="E67" i="1" s="1"/>
  <c r="D19" i="8"/>
  <c r="E19" i="8"/>
  <c r="D19" i="6"/>
  <c r="E19" i="6"/>
  <c r="D19" i="3"/>
  <c r="E19" i="3"/>
  <c r="D19" i="1"/>
  <c r="E19" i="1"/>
  <c r="E19" i="11" s="1"/>
  <c r="C12" i="9"/>
  <c r="B12" i="9" s="1"/>
  <c r="C12" i="10"/>
  <c r="B12" i="10" s="1"/>
  <c r="C12" i="11"/>
  <c r="B12" i="11" s="1"/>
  <c r="C12" i="8"/>
  <c r="B12" i="8" s="1"/>
  <c r="C12" i="6"/>
  <c r="B12" i="6" s="1"/>
  <c r="C12" i="3"/>
  <c r="B12" i="3" s="1"/>
  <c r="D19" i="10" l="1"/>
  <c r="D19" i="11"/>
  <c r="E19" i="10"/>
  <c r="B23" i="9"/>
  <c r="E19" i="9"/>
  <c r="D19" i="9"/>
  <c r="B23" i="10"/>
  <c r="B23" i="11"/>
  <c r="C18" i="8"/>
  <c r="B18" i="8" s="1"/>
  <c r="C17" i="8"/>
  <c r="C15" i="8"/>
  <c r="C11" i="8"/>
  <c r="B11" i="8" s="1"/>
  <c r="C10" i="8"/>
  <c r="B10" i="8" s="1"/>
  <c r="C9" i="8"/>
  <c r="B9" i="8" s="1"/>
  <c r="C18" i="6"/>
  <c r="B18" i="6" s="1"/>
  <c r="C17" i="6"/>
  <c r="C15" i="6"/>
  <c r="B15" i="6" s="1"/>
  <c r="C11" i="6"/>
  <c r="B11" i="6" s="1"/>
  <c r="B48" i="6" s="1"/>
  <c r="C10" i="6"/>
  <c r="B10" i="6" s="1"/>
  <c r="C9" i="6"/>
  <c r="B9" i="6" s="1"/>
  <c r="C18" i="3"/>
  <c r="B18" i="3" s="1"/>
  <c r="C17" i="3"/>
  <c r="C15" i="3"/>
  <c r="B15" i="3"/>
  <c r="C11" i="3"/>
  <c r="B11" i="3" s="1"/>
  <c r="C10" i="3"/>
  <c r="B10" i="3" s="1"/>
  <c r="C9" i="3"/>
  <c r="B9" i="3" s="1"/>
  <c r="C17" i="1"/>
  <c r="C18" i="1"/>
  <c r="B18" i="1" s="1"/>
  <c r="C15" i="1"/>
  <c r="B15" i="1" s="1"/>
  <c r="C10" i="1"/>
  <c r="C11" i="1"/>
  <c r="C12" i="1"/>
  <c r="C9" i="1"/>
  <c r="C19" i="1" l="1"/>
  <c r="C64" i="1"/>
  <c r="C61" i="1"/>
  <c r="C61" i="6"/>
  <c r="C64" i="6"/>
  <c r="B17" i="1"/>
  <c r="B15" i="11"/>
  <c r="C19" i="3"/>
  <c r="B19" i="3" s="1"/>
  <c r="C61" i="3"/>
  <c r="C64" i="3"/>
  <c r="C61" i="8"/>
  <c r="C64" i="8"/>
  <c r="B17" i="8"/>
  <c r="C19" i="8"/>
  <c r="B19" i="8" s="1"/>
  <c r="B17" i="6"/>
  <c r="C19" i="6"/>
  <c r="B19" i="6" s="1"/>
  <c r="C19" i="11"/>
  <c r="B17" i="3"/>
  <c r="C19" i="9"/>
  <c r="B19" i="9" s="1"/>
  <c r="B19" i="1"/>
  <c r="D10" i="9"/>
  <c r="D39" i="9" s="1"/>
  <c r="E10" i="9"/>
  <c r="E39" i="9" s="1"/>
  <c r="D10" i="10"/>
  <c r="D39" i="10" s="1"/>
  <c r="E10" i="10"/>
  <c r="E39" i="10" s="1"/>
  <c r="D10" i="11"/>
  <c r="D39" i="11" s="1"/>
  <c r="E10" i="11"/>
  <c r="E39" i="11" s="1"/>
  <c r="D31" i="1"/>
  <c r="E31" i="1"/>
  <c r="E33" i="1" s="1"/>
  <c r="D32" i="1"/>
  <c r="D34" i="1" s="1"/>
  <c r="E32" i="1"/>
  <c r="D33" i="1"/>
  <c r="E34" i="1"/>
  <c r="D31" i="8"/>
  <c r="E31" i="8"/>
  <c r="D32" i="8"/>
  <c r="E32" i="8"/>
  <c r="E56" i="8" s="1"/>
  <c r="D33" i="8"/>
  <c r="E33" i="8"/>
  <c r="D34" i="8"/>
  <c r="D57" i="8" s="1"/>
  <c r="E34" i="8"/>
  <c r="E57" i="8" s="1"/>
  <c r="D39" i="8"/>
  <c r="E39" i="8"/>
  <c r="D40" i="8"/>
  <c r="E40" i="8"/>
  <c r="D43" i="8"/>
  <c r="E43" i="8"/>
  <c r="E45" i="8"/>
  <c r="D48" i="8"/>
  <c r="E48" i="8"/>
  <c r="D49" i="8"/>
  <c r="E49" i="8"/>
  <c r="E50" i="8" s="1"/>
  <c r="D50" i="8"/>
  <c r="D55" i="8"/>
  <c r="E55" i="8"/>
  <c r="D56" i="8"/>
  <c r="D31" i="6"/>
  <c r="E31" i="6"/>
  <c r="D32" i="6"/>
  <c r="E32" i="6"/>
  <c r="E56" i="6" s="1"/>
  <c r="D33" i="6"/>
  <c r="E33" i="6"/>
  <c r="D34" i="6"/>
  <c r="E34" i="6"/>
  <c r="E57" i="6" s="1"/>
  <c r="D39" i="6"/>
  <c r="E39" i="6"/>
  <c r="D40" i="6"/>
  <c r="E40" i="6"/>
  <c r="D43" i="6"/>
  <c r="D45" i="6" s="1"/>
  <c r="E43" i="6"/>
  <c r="D48" i="6"/>
  <c r="E48" i="6"/>
  <c r="E50" i="6" s="1"/>
  <c r="D49" i="6"/>
  <c r="E49" i="6"/>
  <c r="D55" i="6"/>
  <c r="E55" i="6"/>
  <c r="F22" i="3"/>
  <c r="G22" i="3"/>
  <c r="D31" i="3"/>
  <c r="E31" i="3"/>
  <c r="D32" i="3"/>
  <c r="D56" i="3" s="1"/>
  <c r="E32" i="3"/>
  <c r="D33" i="3"/>
  <c r="E33" i="3"/>
  <c r="D34" i="3"/>
  <c r="D57" i="3" s="1"/>
  <c r="E34" i="3"/>
  <c r="E57" i="3" s="1"/>
  <c r="D39" i="3"/>
  <c r="E39" i="3"/>
  <c r="D40" i="3"/>
  <c r="E40" i="3"/>
  <c r="D43" i="3"/>
  <c r="E43" i="3"/>
  <c r="D45" i="3"/>
  <c r="D48" i="3"/>
  <c r="E48" i="3"/>
  <c r="D49" i="3"/>
  <c r="E49" i="3"/>
  <c r="E50" i="3" s="1"/>
  <c r="D50" i="3"/>
  <c r="D55" i="3"/>
  <c r="E55" i="3"/>
  <c r="E56" i="3"/>
  <c r="E16" i="8"/>
  <c r="D16" i="8"/>
  <c r="F22" i="6"/>
  <c r="G22" i="6"/>
  <c r="E16" i="6"/>
  <c r="D16" i="6"/>
  <c r="E16" i="3"/>
  <c r="D16" i="3"/>
  <c r="D16" i="1"/>
  <c r="B14" i="13"/>
  <c r="B12" i="13"/>
  <c r="B10" i="13"/>
  <c r="B8" i="13"/>
  <c r="B6" i="13"/>
  <c r="E22" i="3" l="1"/>
  <c r="E67" i="3" s="1"/>
  <c r="E60" i="3"/>
  <c r="E63" i="3"/>
  <c r="B68" i="8"/>
  <c r="B61" i="8"/>
  <c r="B64" i="8"/>
  <c r="B61" i="1"/>
  <c r="B64" i="1"/>
  <c r="D44" i="6"/>
  <c r="D60" i="6"/>
  <c r="D63" i="6"/>
  <c r="C16" i="8"/>
  <c r="D60" i="8"/>
  <c r="D63" i="8"/>
  <c r="D60" i="1"/>
  <c r="D63" i="1"/>
  <c r="E44" i="6"/>
  <c r="E45" i="6" s="1"/>
  <c r="E60" i="6"/>
  <c r="E63" i="6"/>
  <c r="E22" i="8"/>
  <c r="E60" i="8"/>
  <c r="E63" i="8"/>
  <c r="D57" i="6"/>
  <c r="D56" i="6"/>
  <c r="C19" i="10"/>
  <c r="B68" i="6"/>
  <c r="B61" i="6"/>
  <c r="B64" i="6"/>
  <c r="D60" i="3"/>
  <c r="D63" i="3"/>
  <c r="B17" i="11"/>
  <c r="B68" i="3"/>
  <c r="B61" i="3"/>
  <c r="B64" i="3"/>
  <c r="E62" i="8"/>
  <c r="E44" i="8"/>
  <c r="C16" i="1"/>
  <c r="D22" i="1"/>
  <c r="B19" i="11"/>
  <c r="B19" i="10"/>
  <c r="E22" i="6"/>
  <c r="E67" i="6" s="1"/>
  <c r="E44" i="3"/>
  <c r="E45" i="3" s="1"/>
  <c r="E62" i="3" s="1"/>
  <c r="E62" i="6"/>
  <c r="D50" i="6"/>
  <c r="D22" i="8"/>
  <c r="D16" i="11"/>
  <c r="D16" i="10"/>
  <c r="E16" i="9"/>
  <c r="C16" i="3"/>
  <c r="C16" i="6"/>
  <c r="D22" i="6"/>
  <c r="D62" i="3"/>
  <c r="D44" i="3"/>
  <c r="D22" i="3"/>
  <c r="D67" i="3" s="1"/>
  <c r="D62" i="6"/>
  <c r="D44" i="8"/>
  <c r="D45" i="8" s="1"/>
  <c r="E16" i="11"/>
  <c r="E16" i="10"/>
  <c r="D16" i="9"/>
  <c r="D39" i="1"/>
  <c r="E39" i="1"/>
  <c r="D40" i="1"/>
  <c r="E40" i="1"/>
  <c r="D43" i="1"/>
  <c r="E43" i="1"/>
  <c r="E45" i="1" s="1"/>
  <c r="D44" i="1"/>
  <c r="E44" i="1"/>
  <c r="D45" i="1"/>
  <c r="D48" i="1"/>
  <c r="E48" i="1"/>
  <c r="D49" i="1"/>
  <c r="E49" i="1"/>
  <c r="D52" i="1"/>
  <c r="E52" i="1"/>
  <c r="D55" i="1"/>
  <c r="E55" i="1"/>
  <c r="D56" i="1"/>
  <c r="E56" i="1"/>
  <c r="D57" i="1"/>
  <c r="E57" i="1"/>
  <c r="D68" i="1"/>
  <c r="D15" i="9"/>
  <c r="D31" i="9" s="1"/>
  <c r="E15" i="9"/>
  <c r="E31" i="9" s="1"/>
  <c r="D9" i="9"/>
  <c r="E9" i="9"/>
  <c r="D15" i="10"/>
  <c r="D31" i="10" s="1"/>
  <c r="E15" i="10"/>
  <c r="E31" i="10" s="1"/>
  <c r="D9" i="10"/>
  <c r="E9" i="10"/>
  <c r="D15" i="11"/>
  <c r="D31" i="11" s="1"/>
  <c r="E15" i="11"/>
  <c r="E31" i="11" s="1"/>
  <c r="D9" i="11"/>
  <c r="E9" i="11"/>
  <c r="B10" i="1"/>
  <c r="B39" i="1" s="1"/>
  <c r="B11" i="1"/>
  <c r="B12" i="1"/>
  <c r="B9" i="1"/>
  <c r="D60" i="9" l="1"/>
  <c r="D63" i="9"/>
  <c r="C22" i="6"/>
  <c r="B22" i="6" s="1"/>
  <c r="B67" i="6" s="1"/>
  <c r="D67" i="6"/>
  <c r="D63" i="10"/>
  <c r="D60" i="10"/>
  <c r="B16" i="8"/>
  <c r="C60" i="8"/>
  <c r="C63" i="8"/>
  <c r="E60" i="10"/>
  <c r="E63" i="10"/>
  <c r="B16" i="6"/>
  <c r="C60" i="6"/>
  <c r="C63" i="6"/>
  <c r="D60" i="11"/>
  <c r="D63" i="11"/>
  <c r="B68" i="11"/>
  <c r="C22" i="3"/>
  <c r="B22" i="3" s="1"/>
  <c r="B67" i="3" s="1"/>
  <c r="E60" i="11"/>
  <c r="E63" i="11"/>
  <c r="B16" i="3"/>
  <c r="C60" i="3"/>
  <c r="C63" i="3"/>
  <c r="C22" i="8"/>
  <c r="D67" i="8"/>
  <c r="C22" i="1"/>
  <c r="B22" i="1" s="1"/>
  <c r="D67" i="1"/>
  <c r="E60" i="9"/>
  <c r="E63" i="9"/>
  <c r="B16" i="1"/>
  <c r="C60" i="1"/>
  <c r="C63" i="1"/>
  <c r="D62" i="8"/>
  <c r="E33" i="11"/>
  <c r="E33" i="10"/>
  <c r="D33" i="11"/>
  <c r="D33" i="10"/>
  <c r="E33" i="9"/>
  <c r="D33" i="9"/>
  <c r="D62" i="1"/>
  <c r="E50" i="1"/>
  <c r="D50" i="1"/>
  <c r="E62" i="1"/>
  <c r="D22" i="9"/>
  <c r="D67" i="9" s="1"/>
  <c r="E22" i="9"/>
  <c r="D11" i="9"/>
  <c r="E11" i="9"/>
  <c r="D17" i="9"/>
  <c r="E17" i="9"/>
  <c r="D22" i="10"/>
  <c r="D67" i="10" s="1"/>
  <c r="E22" i="10"/>
  <c r="D11" i="10"/>
  <c r="E11" i="10"/>
  <c r="D17" i="10"/>
  <c r="E17" i="10"/>
  <c r="D22" i="11"/>
  <c r="D67" i="11" s="1"/>
  <c r="E22" i="11"/>
  <c r="D11" i="11"/>
  <c r="E11" i="11"/>
  <c r="D17" i="11"/>
  <c r="E17" i="11"/>
  <c r="E61" i="11" l="1"/>
  <c r="E64" i="11"/>
  <c r="E61" i="9"/>
  <c r="E64" i="9"/>
  <c r="B16" i="11"/>
  <c r="B60" i="3"/>
  <c r="B63" i="3"/>
  <c r="B44" i="8"/>
  <c r="B60" i="8"/>
  <c r="B63" i="8"/>
  <c r="D68" i="11"/>
  <c r="D61" i="11"/>
  <c r="D64" i="11"/>
  <c r="D68" i="9"/>
  <c r="D61" i="9"/>
  <c r="D64" i="9"/>
  <c r="E61" i="10"/>
  <c r="E64" i="10"/>
  <c r="D68" i="10"/>
  <c r="D61" i="10"/>
  <c r="D64" i="10"/>
  <c r="B63" i="1"/>
  <c r="B60" i="1"/>
  <c r="B60" i="6"/>
  <c r="B63" i="6"/>
  <c r="E44" i="11"/>
  <c r="E49" i="11"/>
  <c r="E32" i="11"/>
  <c r="E56" i="11" s="1"/>
  <c r="E32" i="10"/>
  <c r="E56" i="10" s="1"/>
  <c r="E44" i="10"/>
  <c r="E49" i="10"/>
  <c r="D44" i="11"/>
  <c r="D49" i="11"/>
  <c r="D32" i="11"/>
  <c r="D56" i="11" s="1"/>
  <c r="D32" i="10"/>
  <c r="D56" i="10" s="1"/>
  <c r="D44" i="10"/>
  <c r="D49" i="10"/>
  <c r="D32" i="9"/>
  <c r="D56" i="9" s="1"/>
  <c r="D44" i="9"/>
  <c r="D49" i="9"/>
  <c r="E32" i="9"/>
  <c r="E56" i="9" s="1"/>
  <c r="E44" i="9"/>
  <c r="E49" i="9"/>
  <c r="E43" i="11"/>
  <c r="E48" i="11"/>
  <c r="E50" i="11" s="1"/>
  <c r="E55" i="11"/>
  <c r="E40" i="11"/>
  <c r="E43" i="9"/>
  <c r="E48" i="9"/>
  <c r="E50" i="9" s="1"/>
  <c r="E55" i="9"/>
  <c r="E40" i="9"/>
  <c r="E40" i="10"/>
  <c r="E34" i="10"/>
  <c r="E57" i="10" s="1"/>
  <c r="E43" i="10"/>
  <c r="E48" i="10"/>
  <c r="E50" i="10" s="1"/>
  <c r="E55" i="10"/>
  <c r="D40" i="9"/>
  <c r="D43" i="9"/>
  <c r="D45" i="9" s="1"/>
  <c r="D48" i="9"/>
  <c r="D55" i="9"/>
  <c r="D34" i="9"/>
  <c r="D57" i="9" s="1"/>
  <c r="D40" i="11"/>
  <c r="D43" i="11"/>
  <c r="D45" i="11" s="1"/>
  <c r="D48" i="11"/>
  <c r="D50" i="11" s="1"/>
  <c r="D55" i="11"/>
  <c r="D34" i="10"/>
  <c r="D57" i="10" s="1"/>
  <c r="D40" i="10"/>
  <c r="D43" i="10"/>
  <c r="D48" i="10"/>
  <c r="D55" i="10"/>
  <c r="F55" i="6"/>
  <c r="E45" i="9" l="1"/>
  <c r="E45" i="11"/>
  <c r="D50" i="10"/>
  <c r="D34" i="11"/>
  <c r="D57" i="11" s="1"/>
  <c r="E34" i="11"/>
  <c r="E57" i="11" s="1"/>
  <c r="D45" i="10"/>
  <c r="D62" i="10" s="1"/>
  <c r="D50" i="9"/>
  <c r="E45" i="10"/>
  <c r="E62" i="10" s="1"/>
  <c r="E62" i="9"/>
  <c r="E62" i="11"/>
  <c r="E34" i="9"/>
  <c r="E57" i="9" s="1"/>
  <c r="D62" i="11"/>
  <c r="D62" i="9"/>
  <c r="C30" i="13"/>
  <c r="G39" i="9" l="1"/>
  <c r="G39" i="10"/>
  <c r="G39" i="11"/>
  <c r="G40" i="8"/>
  <c r="F40" i="8"/>
  <c r="C40" i="8"/>
  <c r="G39" i="8"/>
  <c r="F39" i="8"/>
  <c r="C39" i="8"/>
  <c r="B39" i="8"/>
  <c r="G40" i="6"/>
  <c r="F40" i="6"/>
  <c r="C40" i="6"/>
  <c r="G39" i="6"/>
  <c r="F39" i="6"/>
  <c r="C39" i="6"/>
  <c r="B39" i="3"/>
  <c r="G40" i="3"/>
  <c r="F40" i="3"/>
  <c r="C40" i="3"/>
  <c r="G39" i="3"/>
  <c r="F39" i="3"/>
  <c r="C39" i="3"/>
  <c r="I20" i="13" l="1"/>
  <c r="B29" i="13"/>
  <c r="D13" i="15" l="1"/>
  <c r="D30" i="15"/>
  <c r="C30" i="15"/>
  <c r="B29" i="15"/>
  <c r="K28" i="15"/>
  <c r="I28" i="15"/>
  <c r="J27" i="15" s="1"/>
  <c r="G28" i="15"/>
  <c r="H27" i="15" s="1"/>
  <c r="L27" i="15"/>
  <c r="K26" i="15"/>
  <c r="L25" i="15" s="1"/>
  <c r="I26" i="15"/>
  <c r="G26" i="15"/>
  <c r="H25" i="15" s="1"/>
  <c r="J25" i="15"/>
  <c r="D24" i="15"/>
  <c r="C24" i="15"/>
  <c r="B23" i="15"/>
  <c r="K20" i="15"/>
  <c r="L19" i="15" s="1"/>
  <c r="I20" i="15"/>
  <c r="J19" i="15" s="1"/>
  <c r="G20" i="15"/>
  <c r="H19" i="15" s="1"/>
  <c r="D18" i="15"/>
  <c r="C18" i="15"/>
  <c r="B17" i="15"/>
  <c r="B14" i="15"/>
  <c r="C13" i="15"/>
  <c r="B12" i="15"/>
  <c r="D11" i="15"/>
  <c r="C11" i="15"/>
  <c r="B10" i="15"/>
  <c r="D9" i="15"/>
  <c r="C9" i="15"/>
  <c r="B8" i="15"/>
  <c r="D7" i="15"/>
  <c r="C7" i="15"/>
  <c r="B6" i="15"/>
  <c r="B23" i="13"/>
  <c r="F30" i="13"/>
  <c r="M28" i="13"/>
  <c r="N27" i="13" s="1"/>
  <c r="K28" i="13"/>
  <c r="L27" i="13" s="1"/>
  <c r="C31" i="13" s="1"/>
  <c r="I28" i="13"/>
  <c r="J27" i="13" s="1"/>
  <c r="M26" i="13"/>
  <c r="N25" i="13" s="1"/>
  <c r="K26" i="13"/>
  <c r="L25" i="13" s="1"/>
  <c r="I26" i="13"/>
  <c r="J25" i="13" s="1"/>
  <c r="M20" i="13"/>
  <c r="N19" i="13" s="1"/>
  <c r="K20" i="13"/>
  <c r="J19" i="13"/>
  <c r="L19" i="13"/>
  <c r="D19" i="15" l="1"/>
  <c r="D20" i="15" s="1"/>
  <c r="D21" i="15" s="1"/>
  <c r="B18" i="15"/>
  <c r="C25" i="15"/>
  <c r="B25" i="15" s="1"/>
  <c r="B31" i="13"/>
  <c r="C32" i="13"/>
  <c r="C31" i="15"/>
  <c r="C32" i="15" s="1"/>
  <c r="F31" i="13"/>
  <c r="F32" i="13" s="1"/>
  <c r="B30" i="13"/>
  <c r="B7" i="15"/>
  <c r="B11" i="15"/>
  <c r="C19" i="15"/>
  <c r="B19" i="15" s="1"/>
  <c r="B24" i="15"/>
  <c r="D25" i="15"/>
  <c r="D26" i="15" s="1"/>
  <c r="B30" i="15"/>
  <c r="D31" i="15"/>
  <c r="D32" i="15" s="1"/>
  <c r="B9" i="15"/>
  <c r="B13" i="15"/>
  <c r="C20" i="15"/>
  <c r="C26" i="15"/>
  <c r="D27" i="15"/>
  <c r="D33" i="15"/>
  <c r="C24" i="13"/>
  <c r="B17" i="13"/>
  <c r="C13" i="13"/>
  <c r="F13" i="13"/>
  <c r="C11" i="13"/>
  <c r="F11" i="13"/>
  <c r="C9" i="13"/>
  <c r="F9" i="13"/>
  <c r="C7" i="13"/>
  <c r="F7" i="13"/>
  <c r="B31" i="15" l="1"/>
  <c r="B32" i="15"/>
  <c r="E6" i="13"/>
  <c r="D6" i="13"/>
  <c r="E8" i="13"/>
  <c r="D8" i="13"/>
  <c r="E10" i="13"/>
  <c r="D10" i="13"/>
  <c r="E12" i="13"/>
  <c r="D12" i="13"/>
  <c r="C25" i="13"/>
  <c r="B32" i="13"/>
  <c r="B7" i="13"/>
  <c r="B20" i="15"/>
  <c r="B21" i="15" s="1"/>
  <c r="C21" i="15"/>
  <c r="C27" i="15" s="1"/>
  <c r="C33" i="15" s="1"/>
  <c r="B26" i="15"/>
  <c r="B27" i="15" s="1"/>
  <c r="B11" i="13"/>
  <c r="B13" i="13"/>
  <c r="B9" i="13"/>
  <c r="C26" i="13" l="1"/>
  <c r="B33" i="15"/>
  <c r="C18" i="13" l="1"/>
  <c r="F18" i="13"/>
  <c r="F24" i="13"/>
  <c r="F25" i="13" l="1"/>
  <c r="B25" i="13" s="1"/>
  <c r="B24" i="13"/>
  <c r="C19" i="13"/>
  <c r="C20" i="13" s="1"/>
  <c r="B18" i="13"/>
  <c r="F19" i="13"/>
  <c r="F20" i="13" s="1"/>
  <c r="B39" i="6"/>
  <c r="F26" i="13" l="1"/>
  <c r="B26" i="13" s="1"/>
  <c r="C21" i="13"/>
  <c r="C27" i="13" s="1"/>
  <c r="C33" i="13" s="1"/>
  <c r="B20" i="13"/>
  <c r="B21" i="13" s="1"/>
  <c r="B27" i="13" s="1"/>
  <c r="B33" i="13" s="1"/>
  <c r="B19" i="13"/>
  <c r="F21" i="13"/>
  <c r="F27" i="13" l="1"/>
  <c r="F33" i="13" s="1"/>
  <c r="C18" i="10"/>
  <c r="G18" i="10"/>
  <c r="C18" i="11"/>
  <c r="G18" i="11"/>
  <c r="C16" i="11" l="1"/>
  <c r="F16" i="11"/>
  <c r="C17" i="11"/>
  <c r="F17" i="11"/>
  <c r="F15" i="11"/>
  <c r="F31" i="11" s="1"/>
  <c r="F33" i="11" s="1"/>
  <c r="C15" i="11"/>
  <c r="C31" i="11" s="1"/>
  <c r="F11" i="11"/>
  <c r="C11" i="11"/>
  <c r="F10" i="11"/>
  <c r="F39" i="11" s="1"/>
  <c r="C10" i="11"/>
  <c r="C9" i="11"/>
  <c r="G17" i="11"/>
  <c r="G16" i="11"/>
  <c r="G15" i="11"/>
  <c r="G31" i="11" s="1"/>
  <c r="G11" i="11"/>
  <c r="G9" i="11"/>
  <c r="F15" i="8"/>
  <c r="G64" i="11" l="1"/>
  <c r="G61" i="11"/>
  <c r="F61" i="11"/>
  <c r="F64" i="11"/>
  <c r="E68" i="11"/>
  <c r="C64" i="11"/>
  <c r="C61" i="11"/>
  <c r="F60" i="11"/>
  <c r="F63" i="11"/>
  <c r="G60" i="11"/>
  <c r="G63" i="11"/>
  <c r="C60" i="11"/>
  <c r="C63" i="11"/>
  <c r="B15" i="8"/>
  <c r="F15" i="9"/>
  <c r="F32" i="11"/>
  <c r="F56" i="11" s="1"/>
  <c r="B11" i="11"/>
  <c r="B9" i="11"/>
  <c r="C39" i="11"/>
  <c r="B10" i="11"/>
  <c r="F55" i="11"/>
  <c r="F40" i="11"/>
  <c r="G55" i="11"/>
  <c r="G40" i="11"/>
  <c r="G33" i="11"/>
  <c r="C55" i="11"/>
  <c r="C40" i="11"/>
  <c r="C33" i="11"/>
  <c r="B31" i="11"/>
  <c r="F22" i="11"/>
  <c r="E67" i="11" s="1"/>
  <c r="C32" i="11"/>
  <c r="G32" i="11"/>
  <c r="F43" i="11"/>
  <c r="F44" i="11"/>
  <c r="F48" i="11"/>
  <c r="F49" i="11"/>
  <c r="C22" i="11"/>
  <c r="G22" i="11"/>
  <c r="C43" i="11"/>
  <c r="G43" i="11"/>
  <c r="G45" i="11" s="1"/>
  <c r="C44" i="11"/>
  <c r="G44" i="11"/>
  <c r="C48" i="11"/>
  <c r="G48" i="11"/>
  <c r="G50" i="11" s="1"/>
  <c r="C49" i="11"/>
  <c r="G49" i="11"/>
  <c r="B39" i="11" l="1"/>
  <c r="B60" i="11"/>
  <c r="B63" i="11"/>
  <c r="B40" i="11"/>
  <c r="B64" i="11"/>
  <c r="B61" i="11"/>
  <c r="F34" i="11"/>
  <c r="F57" i="11" s="1"/>
  <c r="B33" i="11"/>
  <c r="B48" i="11"/>
  <c r="B55" i="11"/>
  <c r="G62" i="11"/>
  <c r="F45" i="11"/>
  <c r="F62" i="11" s="1"/>
  <c r="C45" i="11"/>
  <c r="C62" i="11" s="1"/>
  <c r="G56" i="11"/>
  <c r="G34" i="11"/>
  <c r="G57" i="11" s="1"/>
  <c r="B22" i="11"/>
  <c r="B67" i="11" s="1"/>
  <c r="C50" i="11"/>
  <c r="F50" i="11"/>
  <c r="B43" i="11"/>
  <c r="C56" i="11"/>
  <c r="C34" i="11"/>
  <c r="C57" i="11" s="1"/>
  <c r="B32" i="11"/>
  <c r="B44" i="11"/>
  <c r="B45" i="11" l="1"/>
  <c r="B62" i="11" s="1"/>
  <c r="B34" i="11"/>
  <c r="B57" i="11" s="1"/>
  <c r="B56" i="11"/>
  <c r="F55" i="3" l="1"/>
  <c r="C16" i="10"/>
  <c r="F16" i="10"/>
  <c r="G16" i="10"/>
  <c r="C17" i="10"/>
  <c r="F17" i="10"/>
  <c r="G17" i="10"/>
  <c r="F15" i="10"/>
  <c r="F31" i="10" s="1"/>
  <c r="F33" i="10" s="1"/>
  <c r="G15" i="10"/>
  <c r="G31" i="10" s="1"/>
  <c r="C15" i="10"/>
  <c r="F11" i="10"/>
  <c r="F40" i="10" s="1"/>
  <c r="F10" i="10"/>
  <c r="F39" i="10" s="1"/>
  <c r="C11" i="10"/>
  <c r="C10" i="10"/>
  <c r="G11" i="10"/>
  <c r="G40" i="10" s="1"/>
  <c r="G9" i="10"/>
  <c r="C32" i="8"/>
  <c r="C49" i="8"/>
  <c r="C44" i="8"/>
  <c r="C9" i="10"/>
  <c r="C18" i="9"/>
  <c r="G18" i="9"/>
  <c r="C17" i="9"/>
  <c r="B18" i="10"/>
  <c r="B18" i="11"/>
  <c r="F60" i="10" l="1"/>
  <c r="F63" i="10"/>
  <c r="F32" i="10"/>
  <c r="F61" i="10"/>
  <c r="F64" i="10"/>
  <c r="E68" i="10"/>
  <c r="C60" i="10"/>
  <c r="C63" i="10"/>
  <c r="G60" i="10"/>
  <c r="G63" i="10"/>
  <c r="G61" i="10"/>
  <c r="G64" i="10"/>
  <c r="C64" i="10"/>
  <c r="C61" i="10"/>
  <c r="B17" i="10"/>
  <c r="C31" i="10"/>
  <c r="C33" i="10" s="1"/>
  <c r="B15" i="10"/>
  <c r="B16" i="10"/>
  <c r="C40" i="10"/>
  <c r="B11" i="10"/>
  <c r="C39" i="10"/>
  <c r="B10" i="10"/>
  <c r="B39" i="10" s="1"/>
  <c r="C55" i="10"/>
  <c r="B9" i="10"/>
  <c r="F55" i="10"/>
  <c r="B40" i="10"/>
  <c r="B18" i="9"/>
  <c r="B49" i="11"/>
  <c r="B50" i="11" s="1"/>
  <c r="G33" i="10"/>
  <c r="G55" i="10"/>
  <c r="F34" i="10"/>
  <c r="F57" i="10" s="1"/>
  <c r="F56" i="10"/>
  <c r="B31" i="10"/>
  <c r="F22" i="10"/>
  <c r="E67" i="10" s="1"/>
  <c r="C32" i="10"/>
  <c r="G32" i="10"/>
  <c r="F43" i="10"/>
  <c r="F44" i="10"/>
  <c r="F48" i="10"/>
  <c r="F49" i="10"/>
  <c r="C22" i="10"/>
  <c r="G22" i="10"/>
  <c r="C43" i="10"/>
  <c r="G43" i="10"/>
  <c r="C44" i="10"/>
  <c r="G44" i="10"/>
  <c r="C48" i="10"/>
  <c r="G48" i="10"/>
  <c r="C49" i="10"/>
  <c r="G49" i="10"/>
  <c r="F17" i="9"/>
  <c r="G17" i="9"/>
  <c r="B60" i="10" l="1"/>
  <c r="B63" i="10"/>
  <c r="E68" i="9"/>
  <c r="B68" i="10"/>
  <c r="B61" i="10"/>
  <c r="B64" i="10"/>
  <c r="B17" i="9"/>
  <c r="B43" i="10"/>
  <c r="B33" i="10"/>
  <c r="B48" i="10"/>
  <c r="B55" i="10"/>
  <c r="F50" i="10"/>
  <c r="G50" i="10"/>
  <c r="G45" i="10"/>
  <c r="G62" i="10" s="1"/>
  <c r="C56" i="10"/>
  <c r="C34" i="10"/>
  <c r="C57" i="10" s="1"/>
  <c r="B32" i="10"/>
  <c r="B49" i="10"/>
  <c r="B44" i="10"/>
  <c r="C50" i="10"/>
  <c r="C45" i="10"/>
  <c r="C62" i="10" s="1"/>
  <c r="B50" i="10"/>
  <c r="F45" i="10"/>
  <c r="F62" i="10" s="1"/>
  <c r="G56" i="10"/>
  <c r="G34" i="10"/>
  <c r="G57" i="10" s="1"/>
  <c r="B22" i="10"/>
  <c r="B67" i="10" s="1"/>
  <c r="B68" i="9" l="1"/>
  <c r="B45" i="10"/>
  <c r="B62" i="10" s="1"/>
  <c r="B34" i="10"/>
  <c r="B57" i="10" s="1"/>
  <c r="B56" i="10"/>
  <c r="F16" i="9"/>
  <c r="G16" i="9"/>
  <c r="C16" i="9"/>
  <c r="G15" i="9"/>
  <c r="G31" i="9" s="1"/>
  <c r="C15" i="9"/>
  <c r="F11" i="9"/>
  <c r="G11" i="9"/>
  <c r="G43" i="9" s="1"/>
  <c r="F10" i="9"/>
  <c r="F39" i="9" s="1"/>
  <c r="C10" i="9"/>
  <c r="C11" i="9"/>
  <c r="G9" i="9"/>
  <c r="C9" i="9"/>
  <c r="G49" i="9"/>
  <c r="F49" i="9"/>
  <c r="C49" i="9"/>
  <c r="G32" i="9"/>
  <c r="F32" i="9"/>
  <c r="C32" i="9"/>
  <c r="F31" i="9"/>
  <c r="F61" i="9" l="1"/>
  <c r="F64" i="9"/>
  <c r="G22" i="9"/>
  <c r="G60" i="9"/>
  <c r="G63" i="9"/>
  <c r="F22" i="9"/>
  <c r="E67" i="9" s="1"/>
  <c r="F60" i="9"/>
  <c r="F63" i="9"/>
  <c r="C61" i="9"/>
  <c r="C64" i="9"/>
  <c r="G61" i="9"/>
  <c r="G64" i="9"/>
  <c r="C60" i="9"/>
  <c r="C63" i="9"/>
  <c r="B11" i="9"/>
  <c r="B15" i="9"/>
  <c r="B10" i="9"/>
  <c r="B39" i="9" s="1"/>
  <c r="C22" i="9"/>
  <c r="B16" i="9"/>
  <c r="C55" i="9"/>
  <c r="B9" i="9"/>
  <c r="C39" i="9"/>
  <c r="F40" i="9"/>
  <c r="C40" i="9"/>
  <c r="G40" i="9"/>
  <c r="B31" i="9"/>
  <c r="C31" i="9"/>
  <c r="C56" i="9" s="1"/>
  <c r="C48" i="9"/>
  <c r="C50" i="9" s="1"/>
  <c r="G48" i="9"/>
  <c r="G50" i="9" s="1"/>
  <c r="G55" i="9"/>
  <c r="F34" i="9"/>
  <c r="F43" i="9"/>
  <c r="G33" i="9"/>
  <c r="F55" i="9"/>
  <c r="F48" i="9"/>
  <c r="F50" i="9" s="1"/>
  <c r="F44" i="9"/>
  <c r="F45" i="9" s="1"/>
  <c r="G44" i="9"/>
  <c r="G45" i="9" s="1"/>
  <c r="C44" i="9"/>
  <c r="B22" i="9"/>
  <c r="B67" i="9" s="1"/>
  <c r="G56" i="9"/>
  <c r="F56" i="9"/>
  <c r="F33" i="9"/>
  <c r="C34" i="9"/>
  <c r="G34" i="9"/>
  <c r="B49" i="9"/>
  <c r="B32" i="9"/>
  <c r="C43" i="9"/>
  <c r="B44" i="9" l="1"/>
  <c r="B63" i="9"/>
  <c r="B60" i="9"/>
  <c r="B64" i="9"/>
  <c r="B61" i="9"/>
  <c r="G57" i="9"/>
  <c r="F57" i="9"/>
  <c r="C33" i="9"/>
  <c r="C57" i="9" s="1"/>
  <c r="B48" i="9"/>
  <c r="B50" i="9" s="1"/>
  <c r="B40" i="9"/>
  <c r="B33" i="9"/>
  <c r="C45" i="9"/>
  <c r="C62" i="9" s="1"/>
  <c r="B43" i="9"/>
  <c r="B55" i="9"/>
  <c r="F62" i="9"/>
  <c r="G62" i="9"/>
  <c r="B34" i="9"/>
  <c r="B56" i="9"/>
  <c r="B57" i="9" l="1"/>
  <c r="B45" i="9"/>
  <c r="B62" i="9" s="1"/>
  <c r="G55" i="8"/>
  <c r="F55" i="8"/>
  <c r="C55" i="8"/>
  <c r="G49" i="8"/>
  <c r="F49" i="8"/>
  <c r="G48" i="8"/>
  <c r="F48" i="8"/>
  <c r="F50" i="8" s="1"/>
  <c r="C48" i="8"/>
  <c r="G44" i="8"/>
  <c r="F44" i="8"/>
  <c r="G43" i="8"/>
  <c r="G45" i="8" s="1"/>
  <c r="C43" i="8"/>
  <c r="C45" i="8" s="1"/>
  <c r="G32" i="8"/>
  <c r="G34" i="8" s="1"/>
  <c r="F32" i="8"/>
  <c r="C34" i="8"/>
  <c r="G31" i="8"/>
  <c r="G56" i="8" s="1"/>
  <c r="G22" i="8"/>
  <c r="F22" i="8"/>
  <c r="E67" i="8" s="1"/>
  <c r="B32" i="8"/>
  <c r="F31" i="8"/>
  <c r="F33" i="8" s="1"/>
  <c r="B31" i="8"/>
  <c r="B40" i="8"/>
  <c r="G55" i="6"/>
  <c r="C55" i="6"/>
  <c r="G49" i="6"/>
  <c r="F49" i="6"/>
  <c r="C49" i="6"/>
  <c r="G48" i="6"/>
  <c r="G50" i="6" s="1"/>
  <c r="F48" i="6"/>
  <c r="C48" i="6"/>
  <c r="G44" i="6"/>
  <c r="G43" i="6"/>
  <c r="G45" i="6" s="1"/>
  <c r="F43" i="6"/>
  <c r="C43" i="6"/>
  <c r="G32" i="6"/>
  <c r="F32" i="6"/>
  <c r="F34" i="6" s="1"/>
  <c r="C32" i="6"/>
  <c r="G31" i="6"/>
  <c r="G33" i="6" s="1"/>
  <c r="F31" i="6"/>
  <c r="F33" i="6" s="1"/>
  <c r="C31" i="6"/>
  <c r="C33" i="6" s="1"/>
  <c r="B31" i="6"/>
  <c r="B40" i="6"/>
  <c r="C55" i="3"/>
  <c r="G55" i="3"/>
  <c r="C48" i="3"/>
  <c r="F48" i="3"/>
  <c r="F50" i="3" s="1"/>
  <c r="G48" i="3"/>
  <c r="C49" i="3"/>
  <c r="F49" i="3"/>
  <c r="G49" i="3"/>
  <c r="C32" i="3"/>
  <c r="C34" i="3" s="1"/>
  <c r="F32" i="3"/>
  <c r="F34" i="3" s="1"/>
  <c r="G32" i="3"/>
  <c r="G34" i="3" s="1"/>
  <c r="C31" i="3"/>
  <c r="C33" i="3" s="1"/>
  <c r="F31" i="3"/>
  <c r="G31" i="3"/>
  <c r="C44" i="3"/>
  <c r="F44" i="3"/>
  <c r="G44" i="3"/>
  <c r="C43" i="3"/>
  <c r="F43" i="3"/>
  <c r="G43" i="3"/>
  <c r="B31" i="3"/>
  <c r="G56" i="3" l="1"/>
  <c r="F56" i="3"/>
  <c r="F50" i="6"/>
  <c r="B22" i="8"/>
  <c r="B67" i="8" s="1"/>
  <c r="B33" i="3"/>
  <c r="B48" i="3"/>
  <c r="B40" i="3"/>
  <c r="F57" i="6"/>
  <c r="C56" i="6"/>
  <c r="G56" i="6"/>
  <c r="C50" i="6"/>
  <c r="C45" i="3"/>
  <c r="C62" i="3" s="1"/>
  <c r="B33" i="6"/>
  <c r="G45" i="3"/>
  <c r="G50" i="3"/>
  <c r="C50" i="3"/>
  <c r="G33" i="3"/>
  <c r="G57" i="3"/>
  <c r="C56" i="3"/>
  <c r="C57" i="3"/>
  <c r="F33" i="3"/>
  <c r="F57" i="3" s="1"/>
  <c r="G62" i="3"/>
  <c r="B55" i="6"/>
  <c r="B33" i="8"/>
  <c r="B55" i="8"/>
  <c r="F45" i="3"/>
  <c r="F62" i="3" s="1"/>
  <c r="C50" i="8"/>
  <c r="G50" i="8"/>
  <c r="B56" i="8"/>
  <c r="F56" i="8"/>
  <c r="C62" i="8"/>
  <c r="G62" i="8"/>
  <c r="C31" i="8"/>
  <c r="C56" i="8" s="1"/>
  <c r="G33" i="8"/>
  <c r="G57" i="8" s="1"/>
  <c r="B34" i="8"/>
  <c r="F34" i="8"/>
  <c r="F57" i="8" s="1"/>
  <c r="B43" i="8"/>
  <c r="F43" i="8"/>
  <c r="F45" i="8" s="1"/>
  <c r="F62" i="8" s="1"/>
  <c r="B48" i="8"/>
  <c r="B49" i="8"/>
  <c r="G62" i="6"/>
  <c r="C34" i="6"/>
  <c r="C57" i="6" s="1"/>
  <c r="G34" i="6"/>
  <c r="G57" i="6" s="1"/>
  <c r="B43" i="6"/>
  <c r="F44" i="6"/>
  <c r="F45" i="6" s="1"/>
  <c r="F62" i="6" s="1"/>
  <c r="B49" i="6"/>
  <c r="F56" i="6"/>
  <c r="B32" i="6"/>
  <c r="C44" i="6"/>
  <c r="C45" i="6" s="1"/>
  <c r="C62" i="6" s="1"/>
  <c r="B43" i="3"/>
  <c r="B49" i="3"/>
  <c r="B55" i="3"/>
  <c r="B32" i="3"/>
  <c r="B34" i="3" s="1"/>
  <c r="B57" i="3" s="1"/>
  <c r="B44" i="3"/>
  <c r="B50" i="3" l="1"/>
  <c r="B57" i="8"/>
  <c r="B56" i="3"/>
  <c r="B50" i="8"/>
  <c r="B45" i="8"/>
  <c r="B62" i="8" s="1"/>
  <c r="C33" i="8"/>
  <c r="C57" i="8" s="1"/>
  <c r="B34" i="6"/>
  <c r="B57" i="6" s="1"/>
  <c r="B56" i="6"/>
  <c r="B50" i="6"/>
  <c r="B44" i="6"/>
  <c r="B45" i="6" s="1"/>
  <c r="B45" i="3"/>
  <c r="B62" i="3" s="1"/>
  <c r="B62" i="6" l="1"/>
  <c r="G55" i="1"/>
  <c r="F55" i="1"/>
  <c r="C55" i="1"/>
  <c r="G52" i="1"/>
  <c r="F52" i="1"/>
  <c r="C52" i="1"/>
  <c r="G49" i="1"/>
  <c r="F49" i="1"/>
  <c r="C49" i="1"/>
  <c r="G48" i="1"/>
  <c r="F48" i="1"/>
  <c r="C48" i="1"/>
  <c r="G44" i="1"/>
  <c r="F44" i="1"/>
  <c r="G43" i="1"/>
  <c r="G45" i="1" s="1"/>
  <c r="G40" i="1"/>
  <c r="F40" i="1"/>
  <c r="C40" i="1"/>
  <c r="G39" i="1"/>
  <c r="G32" i="1"/>
  <c r="F32" i="1"/>
  <c r="C32" i="1"/>
  <c r="G31" i="1"/>
  <c r="G33" i="1" s="1"/>
  <c r="F31" i="1"/>
  <c r="F33" i="1" s="1"/>
  <c r="C31" i="1"/>
  <c r="C33" i="1" s="1"/>
  <c r="B67" i="1"/>
  <c r="B31" i="1"/>
  <c r="C43" i="1"/>
  <c r="G50" i="1" l="1"/>
  <c r="C50" i="1"/>
  <c r="F50" i="1"/>
  <c r="B55" i="1"/>
  <c r="B43" i="1"/>
  <c r="B48" i="1"/>
  <c r="C56" i="1"/>
  <c r="G56" i="1"/>
  <c r="B33" i="1"/>
  <c r="B40" i="1"/>
  <c r="F56" i="1"/>
  <c r="G62" i="1"/>
  <c r="F34" i="1"/>
  <c r="F57" i="1" s="1"/>
  <c r="F39" i="1"/>
  <c r="F43" i="1"/>
  <c r="F45" i="1" s="1"/>
  <c r="F62" i="1" s="1"/>
  <c r="C34" i="1"/>
  <c r="C57" i="1" s="1"/>
  <c r="G34" i="1"/>
  <c r="G57" i="1" s="1"/>
  <c r="C39" i="1"/>
  <c r="C44" i="1"/>
  <c r="C45" i="1" s="1"/>
  <c r="C62" i="1" l="1"/>
  <c r="B68" i="1"/>
  <c r="B49" i="1" l="1"/>
  <c r="B50" i="1" s="1"/>
  <c r="B32" i="1"/>
  <c r="B52" i="1"/>
  <c r="B44" i="1"/>
  <c r="B45" i="1" s="1"/>
  <c r="B34" i="1" l="1"/>
  <c r="B57" i="1" s="1"/>
  <c r="B56" i="1"/>
  <c r="B62" i="1"/>
</calcChain>
</file>

<file path=xl/comments1.xml><?xml version="1.0" encoding="utf-8"?>
<comments xmlns="http://schemas.openxmlformats.org/spreadsheetml/2006/main">
  <authors>
    <author>Catherine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795 personas en proceso de capacitación, pero ninguna la había finalizado.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Incluye transferencia y fideicomiso</t>
        </r>
      </text>
    </comment>
  </commentList>
</comments>
</file>

<file path=xl/comments2.xml><?xml version="1.0" encoding="utf-8"?>
<comments xmlns="http://schemas.openxmlformats.org/spreadsheetml/2006/main">
  <authors>
    <author>Diego Astorga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hizo modificación
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hay modificación en gasto</t>
        </r>
      </text>
    </comment>
  </commentList>
</comments>
</file>

<file path=xl/comments3.xml><?xml version="1.0" encoding="utf-8"?>
<comments xmlns="http://schemas.openxmlformats.org/spreadsheetml/2006/main">
  <authors>
    <author>Diego Astorga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hizo modificación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toma en cuenta el cambio de beneficiarios el 6 de dic</t>
        </r>
      </text>
    </comment>
  </commentList>
</comments>
</file>

<file path=xl/sharedStrings.xml><?xml version="1.0" encoding="utf-8"?>
<sst xmlns="http://schemas.openxmlformats.org/spreadsheetml/2006/main" count="583" uniqueCount="174">
  <si>
    <t>Indicador</t>
  </si>
  <si>
    <t>Total</t>
  </si>
  <si>
    <t>Productos</t>
  </si>
  <si>
    <t>Créditos</t>
  </si>
  <si>
    <t>Capacitación</t>
  </si>
  <si>
    <t>Asistencia T</t>
  </si>
  <si>
    <t>Insumos</t>
  </si>
  <si>
    <t xml:space="preserve">Beneficiarios </t>
  </si>
  <si>
    <t>Efectivos 1T 2010</t>
  </si>
  <si>
    <t>Programados 1T 2011</t>
  </si>
  <si>
    <t>Efectivos 1T 2011</t>
  </si>
  <si>
    <t>Programados año 2011</t>
  </si>
  <si>
    <t>Gasto FODESAF</t>
  </si>
  <si>
    <t>En transferencias 1T 2011</t>
  </si>
  <si>
    <t>Ingresos FODESAF</t>
  </si>
  <si>
    <t>Otros insumos</t>
  </si>
  <si>
    <t>IPC (1T 2010)</t>
  </si>
  <si>
    <t>IPC (1T 2011)</t>
  </si>
  <si>
    <t>Población objetivo</t>
  </si>
  <si>
    <t>Cálculos intermedios</t>
  </si>
  <si>
    <t>Gasto efectivo real 1T 2010</t>
  </si>
  <si>
    <t>Gasto efectivo real 1T 2011</t>
  </si>
  <si>
    <t>Gasto efectivo real por beneficiario 1T 2010</t>
  </si>
  <si>
    <t>Gasto efectivo real por beneficiario 1T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</si>
  <si>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</si>
  <si>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</si>
  <si>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</si>
  <si>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</si>
  <si>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</si>
  <si>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</si>
  <si>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</si>
  <si>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</si>
  <si>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</si>
  <si>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</si>
  <si>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</si>
  <si>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</si>
  <si>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</si>
  <si>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</si>
  <si>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</si>
  <si>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</si>
  <si>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</si>
  <si>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</si>
  <si>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</si>
  <si>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</si>
  <si>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</si>
  <si>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</si>
  <si>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 Programa</t>
  </si>
  <si>
    <t xml:space="preserve">Crédito </t>
  </si>
  <si>
    <t xml:space="preserve">Capacitación </t>
  </si>
  <si>
    <t>Efectivos 2T 2010</t>
  </si>
  <si>
    <t>Programados 2T 2011</t>
  </si>
  <si>
    <t>Efectivos 2T 2011</t>
  </si>
  <si>
    <t>Efectivos2T 2010</t>
  </si>
  <si>
    <t>En transferencias 2T 2011</t>
  </si>
  <si>
    <t>IPC (2T 2010)</t>
  </si>
  <si>
    <t>IPC (2T 2011)</t>
  </si>
  <si>
    <t>Gasto efectivo real 2T 2010</t>
  </si>
  <si>
    <t>Gasto efectivo real 2T 2011</t>
  </si>
  <si>
    <t>Gasto efectivo real por beneficiario 2T 2010</t>
  </si>
  <si>
    <t>Gasto efectivo real por beneficiario 2T 2011</t>
  </si>
  <si>
    <t>Efectivos 3T 2010</t>
  </si>
  <si>
    <t>Programados 3T 2011</t>
  </si>
  <si>
    <t>Efectivos 3T 2011</t>
  </si>
  <si>
    <t>Efectivos3T 2010</t>
  </si>
  <si>
    <t>En transferencias 3T 2011</t>
  </si>
  <si>
    <t>IPC (3T 2010)</t>
  </si>
  <si>
    <t>IPC (3T 2011)</t>
  </si>
  <si>
    <t>Gasto efectivo real 3T 2010</t>
  </si>
  <si>
    <t>Gasto efectivo real 3T 2011</t>
  </si>
  <si>
    <t>Gasto efectivo real por beneficiario 3T 2010</t>
  </si>
  <si>
    <t>Gasto efectivo real por beneficiario 3T 2011</t>
  </si>
  <si>
    <t>Efectivos 4T 2010</t>
  </si>
  <si>
    <t>Programados 4T 2011</t>
  </si>
  <si>
    <t>Efectivos 4T 2011</t>
  </si>
  <si>
    <t>Efectivos4T 2010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</si>
  <si>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</si>
  <si>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</si>
  <si>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</si>
  <si>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</si>
  <si>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</si>
  <si>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</si>
  <si>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</si>
  <si>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</si>
  <si>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</si>
  <si>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</si>
  <si>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Efectivos 2010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</si>
  <si>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</si>
  <si>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</si>
  <si>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</si>
  <si>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</si>
  <si>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</si>
  <si>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</si>
  <si>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</si>
  <si>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Efectivos 3TA 2010</t>
  </si>
  <si>
    <t>Programados 3TA 2011</t>
  </si>
  <si>
    <t>Efectivos 3TA 2011</t>
  </si>
  <si>
    <t>Efectivos3TA 2010</t>
  </si>
  <si>
    <t>En transferencias 3TA 2011</t>
  </si>
  <si>
    <t>IPC (3TA 2010)</t>
  </si>
  <si>
    <t>IPC (3TA 2011)</t>
  </si>
  <si>
    <t>Gasto efectivo real 3TA 2010</t>
  </si>
  <si>
    <t>Gasto efectivo real 3TA 2011</t>
  </si>
  <si>
    <t>Gasto efectivo real por beneficiario 3TA 2010</t>
  </si>
  <si>
    <t>Gasto efectivo real por beneficiario 3TA 2011</t>
  </si>
  <si>
    <t>III Trimestre</t>
  </si>
  <si>
    <t>Presupuesto Inicial</t>
  </si>
  <si>
    <t>I Trimestre</t>
  </si>
  <si>
    <t>II trimestre</t>
  </si>
  <si>
    <t>IV Trimestre</t>
  </si>
  <si>
    <t>Anual</t>
  </si>
  <si>
    <t>Modif. Anual II trimestre</t>
  </si>
  <si>
    <t>Diferencia</t>
  </si>
  <si>
    <t>Diferencia por Trimestre</t>
  </si>
  <si>
    <t>II trim. Programado</t>
  </si>
  <si>
    <t>Total I Semestre</t>
  </si>
  <si>
    <t>Modif. Anual III trimestre</t>
  </si>
  <si>
    <t>III Trimestre Programado</t>
  </si>
  <si>
    <t>Total 9 meses</t>
  </si>
  <si>
    <t>Modif. Anual IV trimestre</t>
  </si>
  <si>
    <t>IV trim. Programado</t>
  </si>
  <si>
    <t>Total Anual</t>
  </si>
  <si>
    <t>Regla de tres para el cálculo de proporciones del gasto total entre trimestres</t>
  </si>
  <si>
    <t>II Trimestre</t>
  </si>
  <si>
    <t>Gasto Total</t>
  </si>
  <si>
    <t>Crédito</t>
  </si>
  <si>
    <t>Diferencia para el III Trimestre</t>
  </si>
  <si>
    <t xml:space="preserve"> III Trim.</t>
  </si>
  <si>
    <t>IV Trim.</t>
  </si>
  <si>
    <t>Si hay cambios presupuestarios para el gasto anual en el cuarto trimestre, todo la diferencia entre el gasto programado anual anterior y este, se le suma al cuarto trimestre programado</t>
  </si>
  <si>
    <t>Si no hay cambios en el presupuesto en el cuarto trimestre, calcular el nuevo gasto programado de acuerdo a los proporciones obtenidas en el último presupuesto extraordinario.</t>
  </si>
  <si>
    <t>* No hubo modificación presupuestaria ni en el segundo ni en el cuarto trimestre</t>
  </si>
  <si>
    <t>Diferencia para IV trimestre</t>
  </si>
  <si>
    <t>Presupuesto Beneficiarios Inicial</t>
  </si>
  <si>
    <t>Regla de tres para el cálculo de proporciones del beneficiarios totales entre trimestres</t>
  </si>
  <si>
    <t>Beneficiarios: Personas diferentes, no promedios</t>
  </si>
  <si>
    <t>Fideicomiso</t>
  </si>
  <si>
    <t>Convenio</t>
  </si>
  <si>
    <t>Transferencia</t>
  </si>
  <si>
    <t>NOTAS</t>
  </si>
  <si>
    <t>Capacitación: todo proviene de la transferencia Fodesaf</t>
  </si>
  <si>
    <t>Efectivos 1S 2010</t>
  </si>
  <si>
    <t>Programados 1S 2011</t>
  </si>
  <si>
    <t>Efectivos 1S 2011</t>
  </si>
  <si>
    <t>Efectivos1S 2010</t>
  </si>
  <si>
    <t>En transferencias 1S 2011</t>
  </si>
  <si>
    <t>IPC (1S 2010)</t>
  </si>
  <si>
    <t>IPC (1S 2011)</t>
  </si>
  <si>
    <t>Gasto efectivo real 1S 2010</t>
  </si>
  <si>
    <t>Gasto efectivo real 1S 2011</t>
  </si>
  <si>
    <t>Gasto efectivo real por beneficiario 1S 2010</t>
  </si>
  <si>
    <t>Gasto efectivo real por beneficiario 1S 2011</t>
  </si>
  <si>
    <t>Fuentes</t>
  </si>
  <si>
    <t>Informes Trimestrales Pronamype 2011</t>
  </si>
  <si>
    <t>Informes de Liquidación 2010, FODESAF</t>
  </si>
  <si>
    <t>Informes de Giros Presupuesto Desaf</t>
  </si>
  <si>
    <t>PAO 2011</t>
  </si>
  <si>
    <t>Beneficiarios: Personas diferentes, no promedios.</t>
  </si>
  <si>
    <t>Capacitación: Beneficiarios sólo aquellas personas que hayan terminado la capacitación.</t>
  </si>
  <si>
    <t>Indicadores aplicados a PRONAMYPE. Primer trimestre 2011</t>
  </si>
  <si>
    <t>Indicadores aplicados a PRONAMYPE. Segundo trimestre 2011</t>
  </si>
  <si>
    <t>Indicadores aplicados a PRONAMYPE. Tercer Trimestre trimestre 2011</t>
  </si>
  <si>
    <t>Indicadores aplicados a PRONAMYPE. Cuarto Trimestre  2011</t>
  </si>
  <si>
    <t>Indicadores aplicados a PRONAMYPE.  Primer Semestre 2011</t>
  </si>
  <si>
    <t>Indicadores aplicados a PRONAMYPE.  Tercer Trimestre Acumulado 2011</t>
  </si>
  <si>
    <t>Indicadores aplicados a PRONAMYPE. 2011</t>
  </si>
  <si>
    <t>Población objetivo:</t>
  </si>
  <si>
    <t>Microemprendedores en situación de pobreza</t>
  </si>
  <si>
    <t>Total Crédito</t>
  </si>
  <si>
    <t xml:space="preserve">Gasto mensual programado por beneficiario (GPB) </t>
  </si>
  <si>
    <t xml:space="preserve">Gasto mensual efectivo por beneficiario (GEB) </t>
  </si>
  <si>
    <t xml:space="preserve">Gasto acumulado programado por beneficiario (GPB) </t>
  </si>
  <si>
    <t xml:space="preserve">Gasto acumulado efectivo por beneficiario (GEB) </t>
  </si>
  <si>
    <t>Programado</t>
  </si>
  <si>
    <t>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</si>
</sst>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4" fontId="0" fillId="0" borderId="0" xfId="0" applyNumberFormat="1" applyFill="1"/>
    <xf numFmtId="0" fontId="0" fillId="0" borderId="0" xfId="0" applyFill="1"/>
    <xf numFmtId="0" fontId="2" fillId="0" borderId="2" xfId="0" applyFont="1" applyFill="1" applyBorder="1"/>
    <xf numFmtId="0" fontId="2" fillId="0" borderId="0" xfId="0" applyFont="1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/>
    <xf numFmtId="164" fontId="0" fillId="0" borderId="0" xfId="1" applyNumberFormat="1" applyFont="1" applyFill="1"/>
    <xf numFmtId="0" fontId="0" fillId="0" borderId="0" xfId="0" applyFont="1"/>
    <xf numFmtId="3" fontId="0" fillId="0" borderId="0" xfId="0" applyNumberFormat="1"/>
    <xf numFmtId="3" fontId="0" fillId="0" borderId="0" xfId="1" applyNumberFormat="1" applyFont="1" applyFill="1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 applyBorder="1"/>
    <xf numFmtId="0" fontId="0" fillId="0" borderId="0" xfId="0" applyBorder="1"/>
    <xf numFmtId="1" fontId="6" fillId="0" borderId="3" xfId="0" applyNumberFormat="1" applyFont="1" applyBorder="1"/>
    <xf numFmtId="0" fontId="0" fillId="0" borderId="1" xfId="0" applyBorder="1"/>
    <xf numFmtId="0" fontId="0" fillId="0" borderId="4" xfId="0" applyBorder="1"/>
    <xf numFmtId="0" fontId="3" fillId="0" borderId="5" xfId="0" applyFont="1" applyBorder="1"/>
    <xf numFmtId="2" fontId="3" fillId="0" borderId="6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0" fillId="0" borderId="7" xfId="0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7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Fill="1"/>
    <xf numFmtId="4" fontId="7" fillId="0" borderId="0" xfId="0" applyNumberFormat="1" applyFont="1" applyFill="1"/>
    <xf numFmtId="0" fontId="0" fillId="0" borderId="11" xfId="0" applyFill="1" applyBorder="1"/>
    <xf numFmtId="0" fontId="0" fillId="0" borderId="2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 indent="3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3" fontId="0" fillId="0" borderId="0" xfId="0" applyNumberFormat="1" applyFill="1" applyAlignment="1">
      <alignment horizontal="right"/>
    </xf>
    <xf numFmtId="165" fontId="0" fillId="0" borderId="0" xfId="1" applyNumberFormat="1" applyFont="1" applyFill="1"/>
    <xf numFmtId="165" fontId="2" fillId="0" borderId="1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/>
    <xf numFmtId="165" fontId="3" fillId="0" borderId="0" xfId="1" applyNumberFormat="1" applyFont="1" applyFill="1"/>
    <xf numFmtId="165" fontId="0" fillId="0" borderId="11" xfId="1" applyNumberFormat="1" applyFont="1" applyFill="1" applyBorder="1"/>
    <xf numFmtId="165" fontId="0" fillId="0" borderId="0" xfId="1" applyNumberFormat="1" applyFont="1" applyFill="1" applyAlignment="1">
      <alignment horizontal="left" indent="3"/>
    </xf>
    <xf numFmtId="165" fontId="0" fillId="0" borderId="12" xfId="1" applyNumberFormat="1" applyFont="1" applyFill="1" applyBorder="1"/>
    <xf numFmtId="165" fontId="1" fillId="0" borderId="0" xfId="1" applyNumberFormat="1" applyFont="1" applyFill="1" applyBorder="1"/>
    <xf numFmtId="164" fontId="0" fillId="0" borderId="2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/>
    <xf numFmtId="164" fontId="0" fillId="0" borderId="11" xfId="1" applyNumberFormat="1" applyFont="1" applyFill="1" applyBorder="1"/>
    <xf numFmtId="164" fontId="0" fillId="0" borderId="0" xfId="1" applyNumberFormat="1" applyFont="1" applyFill="1" applyAlignment="1">
      <alignment horizontal="left" indent="3"/>
    </xf>
    <xf numFmtId="43" fontId="0" fillId="0" borderId="0" xfId="1" applyNumberFormat="1" applyFont="1" applyFill="1"/>
    <xf numFmtId="164" fontId="8" fillId="0" borderId="0" xfId="1" applyNumberFormat="1" applyFont="1" applyFill="1" applyAlignment="1">
      <alignment horizontal="right"/>
    </xf>
    <xf numFmtId="164" fontId="8" fillId="0" borderId="0" xfId="1" applyNumberFormat="1" applyFont="1" applyFill="1"/>
    <xf numFmtId="165" fontId="2" fillId="0" borderId="1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165" fontId="2" fillId="0" borderId="1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784243518855917E-2"/>
          <c:y val="0.1672513236665164"/>
          <c:w val="0.75841505727277059"/>
          <c:h val="0.39935053323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Anual!$B$39:$F$39</c:f>
              <c:numCache>
                <c:formatCode>_(* #,##0.00_);_(* \(#,##0.00\);_(* "-"??_);_(@_)</c:formatCode>
                <c:ptCount val="5"/>
                <c:pt idx="0">
                  <c:v>2.7556115046513612</c:v>
                </c:pt>
                <c:pt idx="1">
                  <c:v>0.88866604079542544</c:v>
                </c:pt>
                <c:pt idx="2">
                  <c:v>0.32004779380387471</c:v>
                </c:pt>
                <c:pt idx="3">
                  <c:v>0.56861824699155072</c:v>
                </c:pt>
                <c:pt idx="4">
                  <c:v>1.8669454638559357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Anual!$B$40:$F$40</c:f>
              <c:numCache>
                <c:formatCode>_(* #,##0.00_);_(* \(#,##0.00\);_(* "-"??_);_(@_)</c:formatCode>
                <c:ptCount val="5"/>
                <c:pt idx="0">
                  <c:v>2.481437227959375</c:v>
                </c:pt>
                <c:pt idx="1">
                  <c:v>0.66463258513271317</c:v>
                </c:pt>
                <c:pt idx="2">
                  <c:v>0.19842963215840231</c:v>
                </c:pt>
                <c:pt idx="3">
                  <c:v>0.46620295297431086</c:v>
                </c:pt>
                <c:pt idx="4">
                  <c:v>1.816804642826662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00032"/>
        <c:axId val="196100424"/>
      </c:barChart>
      <c:catAx>
        <c:axId val="196100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196100424"/>
        <c:crosses val="autoZero"/>
        <c:auto val="1"/>
        <c:lblAlgn val="ctr"/>
        <c:lblOffset val="100"/>
        <c:noMultiLvlLbl val="0"/>
      </c:catAx>
      <c:valAx>
        <c:axId val="196100424"/>
        <c:scaling>
          <c:orientation val="minMax"/>
        </c:scaling>
        <c:delete val="0"/>
        <c:axPos val="l"/>
        <c:majorGridlines/>
        <c:numFmt formatCode="#,##0.0" sourceLinked="0"/>
        <c:majorTickMark val="none"/>
        <c:minorTickMark val="none"/>
        <c:tickLblPos val="nextTo"/>
        <c:crossAx val="196100032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17254888842854965"/>
          <c:y val="0.74479552441265939"/>
          <c:w val="0.58567333880904149"/>
          <c:h val="7.373257241927327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Efectividad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417723751944448E-2"/>
          <c:y val="0.16753387245513229"/>
          <c:w val="0.532231291862448"/>
          <c:h val="0.42536284315811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Anual!$B$43:$F$43</c:f>
              <c:numCache>
                <c:formatCode>_(* #,##0.00_);_(* \(#,##0.00\);_(* "-"??_);_(@_)</c:formatCode>
                <c:ptCount val="5"/>
                <c:pt idx="0">
                  <c:v>90.050329074719315</c:v>
                </c:pt>
                <c:pt idx="1">
                  <c:v>74.789915966386559</c:v>
                </c:pt>
                <c:pt idx="2">
                  <c:v>62</c:v>
                </c:pt>
                <c:pt idx="3">
                  <c:v>81.988742964352724</c:v>
                </c:pt>
                <c:pt idx="4">
                  <c:v>97.314285714285717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Anual!$B$44:$F$44</c:f>
              <c:numCache>
                <c:formatCode>_(* #,##0.00_);_(* \(#,##0.00\);_(* "-"??_);_(@_)</c:formatCode>
                <c:ptCount val="5"/>
                <c:pt idx="0">
                  <c:v>101.77832920938255</c:v>
                </c:pt>
                <c:pt idx="1">
                  <c:v>102.8476360120048</c:v>
                </c:pt>
                <c:pt idx="2">
                  <c:v>107.90511111111113</c:v>
                </c:pt>
                <c:pt idx="3">
                  <c:v>100.0010271382114</c:v>
                </c:pt>
                <c:pt idx="4">
                  <c:v>95.09783496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Anual!$B$45:$F$45</c:f>
              <c:numCache>
                <c:formatCode>_(* #,##0.00_);_(* \(#,##0.00\);_(* "-"??_);_(@_)</c:formatCode>
                <c:ptCount val="5"/>
                <c:pt idx="0">
                  <c:v>95.914329142050931</c:v>
                </c:pt>
                <c:pt idx="1">
                  <c:v>88.818775989195672</c:v>
                </c:pt>
                <c:pt idx="2">
                  <c:v>84.952555555555563</c:v>
                </c:pt>
                <c:pt idx="3">
                  <c:v>90.994885051282068</c:v>
                </c:pt>
                <c:pt idx="4">
                  <c:v>96.206060337142858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18248"/>
        <c:axId val="196518640"/>
      </c:barChart>
      <c:catAx>
        <c:axId val="196518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6518640"/>
        <c:crosses val="autoZero"/>
        <c:auto val="1"/>
        <c:lblAlgn val="ctr"/>
        <c:lblOffset val="100"/>
        <c:noMultiLvlLbl val="0"/>
      </c:catAx>
      <c:valAx>
        <c:axId val="19651864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96518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221732236149576E-2"/>
          <c:y val="0.17218759113444151"/>
          <c:w val="0.54334474033998248"/>
          <c:h val="0.41865995917177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Anual!$B$48:$F$48</c:f>
              <c:numCache>
                <c:formatCode>_(* #,##0.00_);_(* \(#,##0.00\);_(* "-"??_);_(@_)</c:formatCode>
                <c:ptCount val="5"/>
                <c:pt idx="0">
                  <c:v>90.050329074719315</c:v>
                </c:pt>
                <c:pt idx="1">
                  <c:v>74.789915966386559</c:v>
                </c:pt>
                <c:pt idx="2">
                  <c:v>62</c:v>
                </c:pt>
                <c:pt idx="3">
                  <c:v>81.988742964352724</c:v>
                </c:pt>
                <c:pt idx="4">
                  <c:v>97.314285714285717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Anual!$B$49:$F$49</c:f>
              <c:numCache>
                <c:formatCode>_(* #,##0.00_);_(* \(#,##0.00\);_(* "-"??_);_(@_)</c:formatCode>
                <c:ptCount val="5"/>
                <c:pt idx="0">
                  <c:v>101.77832920938255</c:v>
                </c:pt>
                <c:pt idx="1">
                  <c:v>102.8476360120048</c:v>
                </c:pt>
                <c:pt idx="2">
                  <c:v>107.90511111111113</c:v>
                </c:pt>
                <c:pt idx="3">
                  <c:v>100.0010271382114</c:v>
                </c:pt>
                <c:pt idx="4">
                  <c:v>95.09783496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Anual!$B$50:$F$50</c:f>
              <c:numCache>
                <c:formatCode>_(* #,##0.00_);_(* \(#,##0.00\);_(* "-"??_);_(@_)</c:formatCode>
                <c:ptCount val="5"/>
                <c:pt idx="0">
                  <c:v>95.914329142050931</c:v>
                </c:pt>
                <c:pt idx="1">
                  <c:v>88.818775989195672</c:v>
                </c:pt>
                <c:pt idx="2">
                  <c:v>84.952555555555563</c:v>
                </c:pt>
                <c:pt idx="3">
                  <c:v>90.994885051282068</c:v>
                </c:pt>
                <c:pt idx="4">
                  <c:v>96.206060337142858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19424"/>
        <c:axId val="196519816"/>
      </c:barChart>
      <c:catAx>
        <c:axId val="1965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6519816"/>
        <c:crosses val="autoZero"/>
        <c:auto val="1"/>
        <c:lblAlgn val="ctr"/>
        <c:lblOffset val="100"/>
        <c:noMultiLvlLbl val="0"/>
      </c:catAx>
      <c:valAx>
        <c:axId val="1965198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crossAx val="196519424"/>
        <c:crosses val="autoZero"/>
        <c:crossBetween val="between"/>
        <c:majorUnit val="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99063944440573"/>
          <c:y val="0.15188371889622601"/>
          <c:w val="0.56897986203052053"/>
          <c:h val="0.71293496407615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Anual!$B$55:$F$55</c:f>
              <c:numCache>
                <c:formatCode>_(* #,##0.00_);_(* \(#,##0.00\);_(* "-"??_);_(@_)</c:formatCode>
                <c:ptCount val="5"/>
                <c:pt idx="0">
                  <c:v>-5.5239642567018628</c:v>
                </c:pt>
                <c:pt idx="1">
                  <c:v>-46.56946826758147</c:v>
                </c:pt>
                <c:pt idx="2">
                  <c:v>-65.555555555555557</c:v>
                </c:pt>
                <c:pt idx="3">
                  <c:v>-30.191693290734822</c:v>
                </c:pt>
                <c:pt idx="4">
                  <c:v>31.404320987654309</c:v>
                </c:pt>
              </c:numCache>
            </c:numRef>
          </c:val>
        </c:ser>
        <c:ser>
          <c:idx val="1"/>
          <c:order val="1"/>
          <c:tx>
            <c:strRef>
              <c:f>Anual!$A$56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Anual!$B$56:$F$56</c:f>
              <c:numCache>
                <c:formatCode>_(* #,##0.00_);_(* \(#,##0.00\);_(* "-"??_);_(@_)</c:formatCode>
                <c:ptCount val="5"/>
                <c:pt idx="0">
                  <c:v>-27.192265842239038</c:v>
                </c:pt>
                <c:pt idx="1">
                  <c:v>-32.335428494871124</c:v>
                </c:pt>
                <c:pt idx="2">
                  <c:v>-50.502964083420984</c:v>
                </c:pt>
                <c:pt idx="3">
                  <c:v>-12.924609537484333</c:v>
                </c:pt>
                <c:pt idx="4">
                  <c:v>49.67743980880379</c:v>
                </c:pt>
              </c:numCache>
            </c:numRef>
          </c:val>
        </c:ser>
        <c:ser>
          <c:idx val="2"/>
          <c:order val="2"/>
          <c:tx>
            <c:strRef>
              <c:f>Anual!$A$57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Anual!$B$57:$F$57</c:f>
              <c:numCache>
                <c:formatCode>_(* #,##0.00_);_(* \(#,##0.00\);_(* "-"??_);_(@_)</c:formatCode>
                <c:ptCount val="5"/>
                <c:pt idx="0">
                  <c:v>-22.935235814098231</c:v>
                </c:pt>
                <c:pt idx="1">
                  <c:v>26.640273475088705</c:v>
                </c:pt>
                <c:pt idx="2">
                  <c:v>43.701072015874566</c:v>
                </c:pt>
                <c:pt idx="3">
                  <c:v>24.734998694587663</c:v>
                </c:pt>
                <c:pt idx="4">
                  <c:v>13.906025832184188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20600"/>
        <c:axId val="196520992"/>
      </c:barChart>
      <c:catAx>
        <c:axId val="196520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6520992"/>
        <c:crosses val="autoZero"/>
        <c:auto val="1"/>
        <c:lblAlgn val="ctr"/>
        <c:lblOffset val="100"/>
        <c:noMultiLvlLbl val="0"/>
      </c:catAx>
      <c:valAx>
        <c:axId val="1965209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96520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007992762343947"/>
          <c:y val="0.15496878117822141"/>
          <c:w val="0.65672805919038935"/>
          <c:h val="0.41012749011565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Anual!$A$60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Anual!$B$60:$F$60</c:f>
              <c:numCache>
                <c:formatCode>_(* #,##0_);_(* \(#,##0\);_(* "-"??_);_(@_)</c:formatCode>
                <c:ptCount val="5"/>
                <c:pt idx="0">
                  <c:v>46764.098593366885</c:v>
                </c:pt>
                <c:pt idx="1">
                  <c:v>125000</c:v>
                </c:pt>
                <c:pt idx="2">
                  <c:v>125000</c:v>
                </c:pt>
                <c:pt idx="3">
                  <c:v>125000</c:v>
                </c:pt>
                <c:pt idx="4">
                  <c:v>9523.8095238095229</c:v>
                </c:pt>
              </c:numCache>
            </c:numRef>
          </c:val>
        </c:ser>
        <c:ser>
          <c:idx val="1"/>
          <c:order val="1"/>
          <c:tx>
            <c:strRef>
              <c:f>Anual!$A$61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Anual!$B$61:$F$61</c:f>
              <c:numCache>
                <c:formatCode>_(* #,##0_);_(* \(#,##0\);_(* "-"??_);_(@_)</c:formatCode>
                <c:ptCount val="5"/>
                <c:pt idx="0">
                  <c:v>52854.574444325022</c:v>
                </c:pt>
                <c:pt idx="1">
                  <c:v>171894.22310995185</c:v>
                </c:pt>
                <c:pt idx="2">
                  <c:v>217550.62724014337</c:v>
                </c:pt>
                <c:pt idx="3">
                  <c:v>152461.52020785661</c:v>
                </c:pt>
                <c:pt idx="4">
                  <c:v>9306.8932237228437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21776"/>
        <c:axId val="196992832"/>
      </c:barChart>
      <c:catAx>
        <c:axId val="196521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6992832"/>
        <c:crosses val="autoZero"/>
        <c:auto val="1"/>
        <c:lblAlgn val="ctr"/>
        <c:lblOffset val="100"/>
        <c:noMultiLvlLbl val="0"/>
      </c:catAx>
      <c:valAx>
        <c:axId val="1969928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6521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467738701306683"/>
          <c:y val="0.79251702764133825"/>
          <c:w val="0.54564210000500313"/>
          <c:h val="0.12260235939142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Índice de eficiencia (IE) </a:t>
            </a:r>
          </a:p>
        </c:rich>
      </c:tx>
      <c:layout>
        <c:manualLayout>
          <c:xMode val="edge"/>
          <c:yMode val="edge"/>
          <c:x val="0.22735849056603774"/>
          <c:y val="2.74442588015214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9421086515129"/>
          <c:y val="0.17012018928615033"/>
          <c:w val="0.77385034417867582"/>
          <c:h val="0.378456328872980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(Anual!$B$3,Anual!$C$5,Anual!$D$5,Anual!$E$5,Anual!$F$4)</c:f>
              <c:strCache>
                <c:ptCount val="5"/>
                <c:pt idx="0">
                  <c:v>Total Programa</c:v>
                </c:pt>
                <c:pt idx="1">
                  <c:v>Total Crédito</c:v>
                </c:pt>
                <c:pt idx="2">
                  <c:v>Fideicomiso</c:v>
                </c:pt>
                <c:pt idx="3">
                  <c:v>Transferencia</c:v>
                </c:pt>
                <c:pt idx="4">
                  <c:v>Capacitación</c:v>
                </c:pt>
              </c:strCache>
            </c:strRef>
          </c:cat>
          <c:val>
            <c:numRef>
              <c:f>Anual!$B$62:$F$62</c:f>
              <c:numCache>
                <c:formatCode>_(* #,##0.00_);_(* \(#,##0.00\);_(* "-"??_);_(@_)</c:formatCode>
                <c:ptCount val="5"/>
                <c:pt idx="0">
                  <c:v>84.862042532197563</c:v>
                </c:pt>
                <c:pt idx="1">
                  <c:v>64.588249667633463</c:v>
                </c:pt>
                <c:pt idx="2">
                  <c:v>48.811945886612321</c:v>
                </c:pt>
                <c:pt idx="3">
                  <c:v>74.604796121035378</c:v>
                </c:pt>
                <c:pt idx="4">
                  <c:v>98.448340564561335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93616"/>
        <c:axId val="196994008"/>
      </c:barChart>
      <c:catAx>
        <c:axId val="19699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6994008"/>
        <c:crosses val="autoZero"/>
        <c:auto val="1"/>
        <c:lblAlgn val="ctr"/>
        <c:lblOffset val="100"/>
        <c:noMultiLvlLbl val="0"/>
      </c:catAx>
      <c:valAx>
        <c:axId val="196994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96993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57950497563811"/>
          <c:y val="0.80791758873278097"/>
          <c:w val="0.40146818625121167"/>
          <c:h val="7.879265091863517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Giro de Recursos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51189461189963"/>
          <c:y val="0.16953858169703331"/>
          <c:w val="0.62843361140367004"/>
          <c:h val="0.474670341148186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Anual!$B$3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Anual!$B$67</c:f>
              <c:numCache>
                <c:formatCode>_(* #,##0.00_);_(* \(#,##0.00\);_(* "-"??_);_(@_)</c:formatCode>
                <c:ptCount val="1"/>
                <c:pt idx="0">
                  <c:v>221.24870645050015</c:v>
                </c:pt>
              </c:numCache>
            </c:numRef>
          </c:val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Anual!$B$3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Anual!$B$68</c:f>
              <c:numCache>
                <c:formatCode>_(* #,##0.00_);_(* \(#,##0.00\);_(* "-"??_);_(@_)</c:formatCode>
                <c:ptCount val="1"/>
                <c:pt idx="0">
                  <c:v>46.001773679139383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94792"/>
        <c:axId val="196995184"/>
      </c:barChart>
      <c:catAx>
        <c:axId val="196994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995184"/>
        <c:crosses val="autoZero"/>
        <c:auto val="1"/>
        <c:lblAlgn val="ctr"/>
        <c:lblOffset val="100"/>
        <c:noMultiLvlLbl val="0"/>
      </c:catAx>
      <c:valAx>
        <c:axId val="19699518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crossAx val="196994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6649168853893259E-2"/>
          <c:y val="0.73979294071704071"/>
          <c:w val="0.88971630138589364"/>
          <c:h val="8.242924960033193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PRONAMYPE: gasto anual por beneficiario 2011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158275036337588"/>
          <c:y val="0.14847313247520708"/>
          <c:w val="0.66789994876138492"/>
          <c:h val="0.57986357992676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Anual!$F$105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Anual!$E$105:$E$107</c:f>
              <c:strCache>
                <c:ptCount val="3"/>
                <c:pt idx="0">
                  <c:v>Total</c:v>
                </c:pt>
                <c:pt idx="1">
                  <c:v>Crédito</c:v>
                </c:pt>
                <c:pt idx="2">
                  <c:v>Capacitación</c:v>
                </c:pt>
              </c:strCache>
            </c:strRef>
          </c:cat>
          <c:val>
            <c:numRef>
              <c:f>(Anual!$B$63,Anual!$E$63,Anual!$F$63)</c:f>
              <c:numCache>
                <c:formatCode>_(* #,##0_);_(* \(#,##0\);_(* "-"??_);_(@_)</c:formatCode>
                <c:ptCount val="3"/>
                <c:pt idx="0">
                  <c:v>561169.18312040262</c:v>
                </c:pt>
                <c:pt idx="1">
                  <c:v>1500000</c:v>
                </c:pt>
                <c:pt idx="2">
                  <c:v>114285.71428571429</c:v>
                </c:pt>
              </c:numCache>
            </c:numRef>
          </c:val>
        </c:ser>
        <c:ser>
          <c:idx val="1"/>
          <c:order val="1"/>
          <c:tx>
            <c:strRef>
              <c:f>Anual!$F$106</c:f>
              <c:strCache>
                <c:ptCount val="1"/>
                <c:pt idx="0">
                  <c:v>Efectivo</c:v>
                </c:pt>
              </c:strCache>
            </c:strRef>
          </c:tx>
          <c:invertIfNegative val="0"/>
          <c:cat>
            <c:strRef>
              <c:f>Anual!$E$105:$E$107</c:f>
              <c:strCache>
                <c:ptCount val="3"/>
                <c:pt idx="0">
                  <c:v>Total</c:v>
                </c:pt>
                <c:pt idx="1">
                  <c:v>Crédito</c:v>
                </c:pt>
                <c:pt idx="2">
                  <c:v>Capacitación</c:v>
                </c:pt>
              </c:strCache>
            </c:strRef>
          </c:cat>
          <c:val>
            <c:numRef>
              <c:f>(Anual!$B$64,Anual!$E$64,Anual!$F$64)</c:f>
              <c:numCache>
                <c:formatCode>_(* #,##0_);_(* \(#,##0\);_(* "-"??_);_(@_)</c:formatCode>
                <c:ptCount val="3"/>
                <c:pt idx="0">
                  <c:v>634254.89333190036</c:v>
                </c:pt>
                <c:pt idx="1">
                  <c:v>1829538.2424942793</c:v>
                </c:pt>
                <c:pt idx="2">
                  <c:v>111682.71868467411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95968"/>
        <c:axId val="196996360"/>
      </c:barChart>
      <c:catAx>
        <c:axId val="196995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996360"/>
        <c:crosses val="autoZero"/>
        <c:auto val="1"/>
        <c:lblAlgn val="ctr"/>
        <c:lblOffset val="100"/>
        <c:noMultiLvlLbl val="0"/>
      </c:catAx>
      <c:valAx>
        <c:axId val="1969963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6995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508454371490414"/>
          <c:y val="0.82002828987693899"/>
          <c:w val="0.333894657590112"/>
          <c:h val="7.218727898533641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Indicadores de Giro de Recursos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72462817147857"/>
          <c:y val="0.19480351414406533"/>
          <c:w val="0.81560848643919515"/>
          <c:h val="0.44752661125692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(Anual!$B$3,Anual!$D$5,Anual!$E$5)</c:f>
              <c:strCache>
                <c:ptCount val="3"/>
                <c:pt idx="0">
                  <c:v>Total Programa</c:v>
                </c:pt>
                <c:pt idx="1">
                  <c:v>Fideicomiso</c:v>
                </c:pt>
                <c:pt idx="2">
                  <c:v>Transferencia</c:v>
                </c:pt>
              </c:strCache>
            </c:strRef>
          </c:cat>
          <c:val>
            <c:numRef>
              <c:f>(Anual!$B$67,Anual!$D$67,Anual!$E$67)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221.24870645050015</c:v>
                </c:pt>
                <c:pt idx="1">
                  <c:v>490.5555555555556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(Anual!$B$3,Anual!$D$5,Anual!$E$5)</c:f>
              <c:strCache>
                <c:ptCount val="3"/>
                <c:pt idx="0">
                  <c:v>Total Programa</c:v>
                </c:pt>
                <c:pt idx="1">
                  <c:v>Fideicomiso</c:v>
                </c:pt>
                <c:pt idx="2">
                  <c:v>Transferencia</c:v>
                </c:pt>
              </c:strCache>
            </c:strRef>
          </c:cat>
          <c:val>
            <c:numRef>
              <c:f>(Anual!$B$68,Anual!$D$68,Anual!$E$68)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46.001773679139383</c:v>
                </c:pt>
                <c:pt idx="1">
                  <c:v>21.996511891279727</c:v>
                </c:pt>
                <c:pt idx="2">
                  <c:v>99.019898138069038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97144"/>
        <c:axId val="196997536"/>
      </c:barChart>
      <c:catAx>
        <c:axId val="196997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6997536"/>
        <c:crosses val="autoZero"/>
        <c:auto val="1"/>
        <c:lblAlgn val="ctr"/>
        <c:lblOffset val="100"/>
        <c:noMultiLvlLbl val="0"/>
      </c:catAx>
      <c:valAx>
        <c:axId val="19699753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96997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6555336832895894E-2"/>
          <c:y val="0.76074839603382916"/>
          <c:w val="0.90066688538932627"/>
          <c:h val="0.126535433070866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304801</xdr:colOff>
      <xdr:row>1</xdr:row>
      <xdr:rowOff>47625</xdr:rowOff>
    </xdr:from>
    <xdr:to>
      <xdr:col>13</xdr:col>
      <xdr:colOff>695325</xdr:colOff>
      <xdr:row>17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17</xdr:row>
      <xdr:rowOff>171450</xdr:rowOff>
    </xdr:from>
    <xdr:to>
      <xdr:col>13</xdr:col>
      <xdr:colOff>657225</xdr:colOff>
      <xdr:row>32</xdr:row>
      <xdr:rowOff>133350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514349</xdr:colOff>
      <xdr:row>33</xdr:row>
      <xdr:rowOff>66676</xdr:rowOff>
    </xdr:from>
    <xdr:to>
      <xdr:col>13</xdr:col>
      <xdr:colOff>628650</xdr:colOff>
      <xdr:row>47</xdr:row>
      <xdr:rowOff>142876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561975</xdr:colOff>
      <xdr:row>48</xdr:row>
      <xdr:rowOff>114300</xdr:rowOff>
    </xdr:from>
    <xdr:to>
      <xdr:col>13</xdr:col>
      <xdr:colOff>295275</xdr:colOff>
      <xdr:row>64</xdr:row>
      <xdr:rowOff>176212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466724</xdr:colOff>
      <xdr:row>67</xdr:row>
      <xdr:rowOff>47624</xdr:rowOff>
    </xdr:from>
    <xdr:to>
      <xdr:col>14</xdr:col>
      <xdr:colOff>209550</xdr:colOff>
      <xdr:row>86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83</xdr:row>
      <xdr:rowOff>104775</xdr:rowOff>
    </xdr:from>
    <xdr:to>
      <xdr:col>1</xdr:col>
      <xdr:colOff>390524</xdr:colOff>
      <xdr:row>98</xdr:row>
      <xdr:rowOff>161925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619125</xdr:colOff>
      <xdr:row>83</xdr:row>
      <xdr:rowOff>9525</xdr:rowOff>
    </xdr:from>
    <xdr:to>
      <xdr:col>5</xdr:col>
      <xdr:colOff>819150</xdr:colOff>
      <xdr:row>97</xdr:row>
      <xdr:rowOff>128587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28575</xdr:colOff>
      <xdr:row>102</xdr:row>
      <xdr:rowOff>85725</xdr:rowOff>
    </xdr:from>
    <xdr:to>
      <xdr:col>6</xdr:col>
      <xdr:colOff>628650</xdr:colOff>
      <xdr:row>119</xdr:row>
      <xdr:rowOff>28575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85725</xdr:colOff>
      <xdr:row>121</xdr:row>
      <xdr:rowOff>4762</xdr:rowOff>
    </xdr:from>
    <xdr:to>
      <xdr:col>6</xdr:col>
      <xdr:colOff>476250</xdr:colOff>
      <xdr:row>135</xdr:row>
      <xdr:rowOff>80962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0.89237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47939"/>
          <a:ext cx="4572000" cy="29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DESAF .</a:t>
          </a:r>
          <a:endParaRPr lang="es-CR" sz="900">
            <a:latin typeface="+mn-lt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0.01677</cdr:x>
      <cdr:y>0.89545</cdr:y>
    </cdr:from>
    <cdr:to>
      <cdr:x>0.98659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9375" y="2528895"/>
          <a:ext cx="4591050" cy="295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ejecutoras, DESAF  e INEC .</a:t>
          </a:r>
          <a:endParaRPr lang="es-CR" sz="900">
            <a:latin typeface="+mn-lt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0.01833</cdr:x>
      <cdr:y>0.89527</cdr:y>
    </cdr:from>
    <cdr:to>
      <cdr:x>1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85725" y="2524132"/>
          <a:ext cx="4591050" cy="295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 DESAF .</a:t>
          </a:r>
          <a:endParaRPr lang="es-CR" sz="900">
            <a:latin typeface="+mn-lt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0.01694</cdr:x>
      <cdr:y>0.89236</cdr:y>
    </cdr:from>
    <cdr:to>
      <cdr:x>0.99661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9375" y="2447932"/>
          <a:ext cx="4591050" cy="295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DESAF.</a:t>
          </a:r>
          <a:endParaRPr lang="es-CR" sz="900">
            <a:latin typeface="+mn-lt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0.90506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814644"/>
          <a:ext cx="4305300" cy="295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ejecutoras, DESAF  e INEC .</a:t>
          </a:r>
          <a:endParaRPr lang="es-CR" sz="900">
            <a:latin typeface="+mn-lt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0.92308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314701"/>
          <a:ext cx="5076826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DESAF .</a:t>
          </a:r>
          <a:endParaRPr lang="es-CR" sz="900">
            <a:latin typeface="+mn-lt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0.90196</cdr:y>
    </cdr:from>
    <cdr:to>
      <cdr:x>1</cdr:x>
      <cdr:y>0.99256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628899"/>
          <a:ext cx="4048124" cy="264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DESAF .</a:t>
          </a:r>
          <a:endParaRPr lang="es-CR" sz="900">
            <a:latin typeface="+mn-lt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0.8906</cdr:y>
    </cdr:from>
    <cdr:to>
      <cdr:x>1</cdr:x>
      <cdr:y>0.99658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81270"/>
          <a:ext cx="4486275" cy="295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DESAF .</a:t>
          </a:r>
          <a:endParaRPr lang="es-CR" sz="900">
            <a:latin typeface="+mn-lt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0.03984</cdr:x>
      <cdr:y>0.89621</cdr:y>
    </cdr:from>
    <cdr:to>
      <cdr:x>1</cdr:x>
      <cdr:y>0.98902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0500" y="2851150"/>
          <a:ext cx="4591050" cy="295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DESAF .</a:t>
          </a:r>
          <a:endParaRPr lang="es-CR" sz="900">
            <a:latin typeface="+mn-lt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6"/>
  <sheetViews>
    <sheetView topLeftCell="A55" workbookViewId="0">
      <selection activeCell="D10" sqref="D10:D19"/>
    </sheetView>
  </sheetViews>
  <sheetFormatPr baseColWidth="10" defaultRowHeight="15" x14ac:dyDescent="0.25"/>
  <cols>
    <col min="1" max="1" width="54.85546875" style="43" customWidth="1"/>
    <col min="2" max="3" width="16.85546875" style="43" bestFit="1" customWidth="1"/>
    <col min="4" max="5" width="15.28515625" style="43" customWidth="1"/>
    <col min="6" max="6" width="15.28515625" style="43" bestFit="1" customWidth="1"/>
    <col min="7" max="7" width="13.42578125" style="43" customWidth="1"/>
    <col min="8" max="8" width="13.28515625" style="43" bestFit="1" customWidth="1"/>
    <col min="9" max="9" width="11.5703125" style="43" bestFit="1" customWidth="1"/>
    <col min="10" max="16384" width="11.42578125" style="43"/>
  </cols>
  <sheetData>
    <row r="1" spans="1:8" x14ac:dyDescent="0.25">
      <c r="A1" s="69" t="s">
        <v>158</v>
      </c>
      <c r="B1" s="69"/>
      <c r="C1" s="69"/>
      <c r="D1" s="69"/>
      <c r="E1" s="69"/>
      <c r="F1" s="69"/>
      <c r="G1" s="69"/>
    </row>
    <row r="3" spans="1:8" x14ac:dyDescent="0.25">
      <c r="A3" s="71" t="s">
        <v>0</v>
      </c>
      <c r="B3" s="44"/>
      <c r="C3" s="70" t="s">
        <v>2</v>
      </c>
      <c r="D3" s="70"/>
      <c r="E3" s="70"/>
      <c r="F3" s="70"/>
      <c r="G3" s="70"/>
    </row>
    <row r="4" spans="1:8" ht="15.75" thickBot="1" x14ac:dyDescent="0.3">
      <c r="A4" s="72"/>
      <c r="B4" s="45"/>
      <c r="C4" s="74" t="s">
        <v>3</v>
      </c>
      <c r="D4" s="74"/>
      <c r="E4" s="74"/>
      <c r="F4" s="44" t="s">
        <v>4</v>
      </c>
      <c r="G4" s="67" t="s">
        <v>5</v>
      </c>
    </row>
    <row r="5" spans="1:8" ht="16.5" thickTop="1" thickBot="1" x14ac:dyDescent="0.3">
      <c r="A5" s="73"/>
      <c r="B5" s="46" t="s">
        <v>46</v>
      </c>
      <c r="C5" s="47" t="s">
        <v>167</v>
      </c>
      <c r="D5" s="47" t="s">
        <v>135</v>
      </c>
      <c r="E5" s="47" t="s">
        <v>137</v>
      </c>
      <c r="F5" s="48"/>
      <c r="G5" s="68"/>
    </row>
    <row r="6" spans="1:8" ht="15.75" thickTop="1" x14ac:dyDescent="0.25">
      <c r="A6" s="49"/>
      <c r="B6" s="45"/>
      <c r="C6" s="50"/>
      <c r="D6" s="50"/>
      <c r="E6" s="50"/>
      <c r="F6" s="45"/>
      <c r="G6" s="45"/>
    </row>
    <row r="7" spans="1:8" x14ac:dyDescent="0.25">
      <c r="A7" s="51" t="s">
        <v>6</v>
      </c>
    </row>
    <row r="8" spans="1:8" x14ac:dyDescent="0.25">
      <c r="A8" s="43" t="s">
        <v>7</v>
      </c>
    </row>
    <row r="9" spans="1:8" x14ac:dyDescent="0.25">
      <c r="A9" s="43" t="s">
        <v>8</v>
      </c>
      <c r="B9" s="8">
        <f>C9+F9+G9</f>
        <v>108</v>
      </c>
      <c r="C9" s="8">
        <f>D9+E9</f>
        <v>108</v>
      </c>
      <c r="D9" s="8">
        <v>108</v>
      </c>
      <c r="E9" s="8">
        <v>0</v>
      </c>
      <c r="F9" s="65">
        <v>0</v>
      </c>
      <c r="G9" s="8">
        <v>0</v>
      </c>
      <c r="H9" s="52"/>
    </row>
    <row r="10" spans="1:8" x14ac:dyDescent="0.25">
      <c r="A10" s="43" t="s">
        <v>9</v>
      </c>
      <c r="B10" s="8">
        <f t="shared" ref="B10:B12" si="0">C10+F10+G10</f>
        <v>459</v>
      </c>
      <c r="C10" s="8">
        <f t="shared" ref="C10:C12" si="1">D10+E10</f>
        <v>109</v>
      </c>
      <c r="D10" s="8">
        <v>109</v>
      </c>
      <c r="E10" s="8">
        <v>0</v>
      </c>
      <c r="F10" s="8">
        <v>350</v>
      </c>
      <c r="G10" s="8">
        <v>0</v>
      </c>
    </row>
    <row r="11" spans="1:8" x14ac:dyDescent="0.25">
      <c r="A11" s="43" t="s">
        <v>10</v>
      </c>
      <c r="B11" s="8">
        <f t="shared" si="0"/>
        <v>204</v>
      </c>
      <c r="C11" s="8">
        <f t="shared" si="1"/>
        <v>16</v>
      </c>
      <c r="D11" s="8">
        <v>16</v>
      </c>
      <c r="E11" s="8">
        <v>0</v>
      </c>
      <c r="F11" s="8">
        <v>188</v>
      </c>
      <c r="G11" s="8">
        <v>0</v>
      </c>
    </row>
    <row r="12" spans="1:8" x14ac:dyDescent="0.25">
      <c r="A12" s="43" t="s">
        <v>11</v>
      </c>
      <c r="B12" s="8">
        <f t="shared" si="0"/>
        <v>2583</v>
      </c>
      <c r="C12" s="8">
        <f t="shared" si="1"/>
        <v>833</v>
      </c>
      <c r="D12" s="8">
        <v>300</v>
      </c>
      <c r="E12" s="8">
        <v>533</v>
      </c>
      <c r="F12" s="8">
        <v>1750</v>
      </c>
      <c r="G12" s="8">
        <v>0</v>
      </c>
    </row>
    <row r="14" spans="1:8" x14ac:dyDescent="0.25">
      <c r="A14" s="43" t="s">
        <v>12</v>
      </c>
    </row>
    <row r="15" spans="1:8" x14ac:dyDescent="0.25">
      <c r="A15" s="43" t="s">
        <v>8</v>
      </c>
      <c r="B15" s="8">
        <f>C15+F15+G15</f>
        <v>264345060</v>
      </c>
      <c r="C15" s="8">
        <f t="shared" ref="C15:C18" si="2">D15+E15</f>
        <v>240460060</v>
      </c>
      <c r="D15" s="8">
        <v>240460060</v>
      </c>
      <c r="E15" s="8">
        <v>0</v>
      </c>
      <c r="F15" s="66">
        <v>23885000</v>
      </c>
      <c r="G15" s="8">
        <v>0</v>
      </c>
    </row>
    <row r="16" spans="1:8" x14ac:dyDescent="0.25">
      <c r="A16" s="43" t="s">
        <v>9</v>
      </c>
      <c r="B16" s="8">
        <f t="shared" ref="B16:B19" si="3">C16+F16+G16</f>
        <v>203500000</v>
      </c>
      <c r="C16" s="8">
        <f t="shared" si="2"/>
        <v>163500000</v>
      </c>
      <c r="D16" s="8">
        <f>D10*1500000</f>
        <v>163500000</v>
      </c>
      <c r="E16" s="8">
        <v>0</v>
      </c>
      <c r="F16" s="8">
        <v>40000000</v>
      </c>
      <c r="G16" s="8">
        <v>0</v>
      </c>
    </row>
    <row r="17" spans="1:7" x14ac:dyDescent="0.25">
      <c r="A17" s="43" t="s">
        <v>10</v>
      </c>
      <c r="B17" s="8">
        <f t="shared" si="3"/>
        <v>10665000</v>
      </c>
      <c r="C17" s="8">
        <f t="shared" si="2"/>
        <v>0</v>
      </c>
      <c r="D17" s="8">
        <v>0</v>
      </c>
      <c r="E17" s="8">
        <v>0</v>
      </c>
      <c r="F17" s="8">
        <v>10665000</v>
      </c>
      <c r="G17" s="8">
        <v>0</v>
      </c>
    </row>
    <row r="18" spans="1:7" x14ac:dyDescent="0.25">
      <c r="A18" s="43" t="s">
        <v>11</v>
      </c>
      <c r="B18" s="8">
        <f t="shared" si="3"/>
        <v>1449500000</v>
      </c>
      <c r="C18" s="8">
        <f t="shared" si="2"/>
        <v>1249500000</v>
      </c>
      <c r="D18" s="8">
        <v>450000000</v>
      </c>
      <c r="E18" s="8">
        <v>799500000</v>
      </c>
      <c r="F18" s="8">
        <v>200000000</v>
      </c>
      <c r="G18" s="8">
        <v>0</v>
      </c>
    </row>
    <row r="19" spans="1:7" x14ac:dyDescent="0.25">
      <c r="A19" s="43" t="s">
        <v>13</v>
      </c>
      <c r="B19" s="8">
        <f t="shared" si="3"/>
        <v>0</v>
      </c>
      <c r="C19" s="8">
        <f>C17</f>
        <v>0</v>
      </c>
      <c r="D19" s="8">
        <f t="shared" ref="D19:E19" si="4">D17</f>
        <v>0</v>
      </c>
      <c r="E19" s="8">
        <f t="shared" si="4"/>
        <v>0</v>
      </c>
      <c r="F19" s="8"/>
      <c r="G19" s="8"/>
    </row>
    <row r="20" spans="1:7" x14ac:dyDescent="0.25">
      <c r="B20" s="8"/>
      <c r="C20" s="8"/>
      <c r="D20" s="8"/>
      <c r="E20" s="8"/>
      <c r="F20" s="8"/>
      <c r="G20" s="8"/>
    </row>
    <row r="21" spans="1:7" x14ac:dyDescent="0.25">
      <c r="A21" s="43" t="s">
        <v>14</v>
      </c>
      <c r="B21" s="8"/>
      <c r="C21" s="8"/>
      <c r="D21" s="8"/>
      <c r="E21" s="8"/>
      <c r="F21" s="8"/>
      <c r="G21" s="8"/>
    </row>
    <row r="22" spans="1:7" x14ac:dyDescent="0.25">
      <c r="A22" s="43" t="s">
        <v>9</v>
      </c>
      <c r="B22" s="8">
        <f t="shared" ref="B22" si="5">C22+F22+G22</f>
        <v>203500000</v>
      </c>
      <c r="C22" s="8">
        <f>D22+E22</f>
        <v>163500000</v>
      </c>
      <c r="D22" s="8">
        <f>D16</f>
        <v>163500000</v>
      </c>
      <c r="E22" s="8">
        <f>E16</f>
        <v>0</v>
      </c>
      <c r="F22" s="8">
        <f>F16</f>
        <v>40000000</v>
      </c>
      <c r="G22" s="8">
        <f>G16</f>
        <v>0</v>
      </c>
    </row>
    <row r="23" spans="1:7" x14ac:dyDescent="0.25">
      <c r="A23" s="43" t="s">
        <v>10</v>
      </c>
      <c r="B23" s="8">
        <v>1202000000</v>
      </c>
      <c r="C23" s="8"/>
      <c r="D23" s="8">
        <v>1162000000</v>
      </c>
      <c r="E23" s="8">
        <v>40000000</v>
      </c>
      <c r="F23" s="8"/>
      <c r="G23" s="8"/>
    </row>
    <row r="25" spans="1:7" x14ac:dyDescent="0.25">
      <c r="A25" s="43" t="s">
        <v>15</v>
      </c>
    </row>
    <row r="26" spans="1:7" x14ac:dyDescent="0.25">
      <c r="A26" s="43" t="s">
        <v>16</v>
      </c>
      <c r="B26" s="64">
        <v>1.3815129374949098</v>
      </c>
      <c r="C26" s="64">
        <v>1.3815129374949098</v>
      </c>
      <c r="D26" s="64">
        <v>1.3815129374949098</v>
      </c>
      <c r="E26" s="64">
        <v>1.3815129374949098</v>
      </c>
      <c r="F26" s="64">
        <v>1.3815129374949098</v>
      </c>
      <c r="G26" s="64">
        <v>1.3815129374949098</v>
      </c>
    </row>
    <row r="27" spans="1:7" x14ac:dyDescent="0.25">
      <c r="A27" s="43" t="s">
        <v>17</v>
      </c>
      <c r="B27" s="64">
        <v>1.4459435845989319</v>
      </c>
      <c r="C27" s="64">
        <v>1.4459435845989319</v>
      </c>
      <c r="D27" s="64">
        <v>1.4459435845989319</v>
      </c>
      <c r="E27" s="64">
        <v>1.4459435845989319</v>
      </c>
      <c r="F27" s="64">
        <v>1.4459435845989319</v>
      </c>
      <c r="G27" s="64">
        <v>1.4459435845989319</v>
      </c>
    </row>
    <row r="28" spans="1:7" x14ac:dyDescent="0.25">
      <c r="A28" s="43" t="s">
        <v>18</v>
      </c>
      <c r="B28" s="8">
        <v>87955</v>
      </c>
      <c r="C28" s="8">
        <v>87955</v>
      </c>
      <c r="D28" s="8">
        <v>87955</v>
      </c>
      <c r="E28" s="8">
        <v>87955</v>
      </c>
      <c r="F28" s="8">
        <v>87955</v>
      </c>
      <c r="G28" s="8">
        <v>87955</v>
      </c>
    </row>
    <row r="29" spans="1:7" x14ac:dyDescent="0.25">
      <c r="B29" s="8"/>
      <c r="C29" s="8"/>
      <c r="D29" s="8"/>
      <c r="E29" s="8"/>
      <c r="F29" s="8"/>
      <c r="G29" s="8"/>
    </row>
    <row r="30" spans="1:7" x14ac:dyDescent="0.25">
      <c r="A30" s="43" t="s">
        <v>19</v>
      </c>
      <c r="B30" s="8"/>
      <c r="C30" s="8"/>
      <c r="D30" s="8"/>
      <c r="E30" s="8"/>
      <c r="F30" s="8"/>
      <c r="G30" s="8"/>
    </row>
    <row r="31" spans="1:7" x14ac:dyDescent="0.25">
      <c r="A31" s="43" t="s">
        <v>20</v>
      </c>
      <c r="B31" s="8">
        <f>B15/B26</f>
        <v>191344614.17302072</v>
      </c>
      <c r="C31" s="8">
        <f t="shared" ref="C31:G31" si="6">C15/C26</f>
        <v>174055597.65225577</v>
      </c>
      <c r="D31" s="8">
        <f t="shared" ref="D31:E31" si="7">D15/D26</f>
        <v>174055597.65225577</v>
      </c>
      <c r="E31" s="8">
        <f t="shared" si="7"/>
        <v>0</v>
      </c>
      <c r="F31" s="8">
        <f t="shared" si="6"/>
        <v>17289016.520764943</v>
      </c>
      <c r="G31" s="8">
        <f t="shared" si="6"/>
        <v>0</v>
      </c>
    </row>
    <row r="32" spans="1:7" x14ac:dyDescent="0.25">
      <c r="A32" s="43" t="s">
        <v>21</v>
      </c>
      <c r="B32" s="8">
        <f>B17/B27</f>
        <v>7375806.4378135474</v>
      </c>
      <c r="C32" s="8">
        <f t="shared" ref="C32:G32" si="8">C17/C27</f>
        <v>0</v>
      </c>
      <c r="D32" s="8">
        <f t="shared" ref="D32:E32" si="9">D17/D27</f>
        <v>0</v>
      </c>
      <c r="E32" s="8">
        <f t="shared" si="9"/>
        <v>0</v>
      </c>
      <c r="F32" s="8">
        <f t="shared" si="8"/>
        <v>7375806.4378135474</v>
      </c>
      <c r="G32" s="8">
        <f t="shared" si="8"/>
        <v>0</v>
      </c>
    </row>
    <row r="33" spans="1:7" x14ac:dyDescent="0.25">
      <c r="A33" s="43" t="s">
        <v>22</v>
      </c>
      <c r="B33" s="8">
        <f>B31/B9</f>
        <v>1771709.3904909326</v>
      </c>
      <c r="C33" s="8">
        <f t="shared" ref="C33:G33" si="10">C31/C9</f>
        <v>1611625.9041875536</v>
      </c>
      <c r="D33" s="8">
        <f t="shared" ref="D33" si="11">D31/D9</f>
        <v>1611625.9041875536</v>
      </c>
      <c r="E33" s="8" t="e">
        <f>E31/E9</f>
        <v>#DIV/0!</v>
      </c>
      <c r="F33" s="8" t="e">
        <f>F31/F9</f>
        <v>#DIV/0!</v>
      </c>
      <c r="G33" s="8" t="e">
        <f t="shared" si="10"/>
        <v>#DIV/0!</v>
      </c>
    </row>
    <row r="34" spans="1:7" x14ac:dyDescent="0.25">
      <c r="A34" s="43" t="s">
        <v>23</v>
      </c>
      <c r="B34" s="8">
        <f>B32/B11</f>
        <v>36155.913910850722</v>
      </c>
      <c r="C34" s="8">
        <f t="shared" ref="C34:G34" si="12">C32/C11</f>
        <v>0</v>
      </c>
      <c r="D34" s="8">
        <f t="shared" ref="D34:E34" si="13">D32/D11</f>
        <v>0</v>
      </c>
      <c r="E34" s="8" t="e">
        <f t="shared" si="13"/>
        <v>#DIV/0!</v>
      </c>
      <c r="F34" s="8">
        <f t="shared" si="12"/>
        <v>39233.012967093338</v>
      </c>
      <c r="G34" s="8" t="e">
        <f t="shared" si="12"/>
        <v>#DIV/0!</v>
      </c>
    </row>
    <row r="36" spans="1:7" x14ac:dyDescent="0.25">
      <c r="A36" s="43" t="s">
        <v>24</v>
      </c>
    </row>
    <row r="38" spans="1:7" x14ac:dyDescent="0.25">
      <c r="A38" s="43" t="s">
        <v>25</v>
      </c>
    </row>
    <row r="39" spans="1:7" x14ac:dyDescent="0.25">
      <c r="A39" s="43" t="s">
        <v>26</v>
      </c>
      <c r="B39" s="43">
        <f>B10/B28*100</f>
        <v>0.52185776817690865</v>
      </c>
      <c r="C39" s="43">
        <f>C10/C28*100</f>
        <v>0.12392700812915697</v>
      </c>
      <c r="D39" s="43">
        <f t="shared" ref="D39:E39" si="14">D10/D28*100</f>
        <v>0.12392700812915697</v>
      </c>
      <c r="E39" s="43">
        <f t="shared" si="14"/>
        <v>0</v>
      </c>
      <c r="F39" s="43">
        <f>F10/F28*100</f>
        <v>0.39793076004775174</v>
      </c>
      <c r="G39" s="43">
        <f>G10/G28*100</f>
        <v>0</v>
      </c>
    </row>
    <row r="40" spans="1:7" x14ac:dyDescent="0.25">
      <c r="A40" s="43" t="s">
        <v>27</v>
      </c>
      <c r="B40" s="43">
        <f>B11/B28*100</f>
        <v>0.23193678585640387</v>
      </c>
      <c r="C40" s="43">
        <f>C11/C28*100</f>
        <v>1.8191120459325791E-2</v>
      </c>
      <c r="D40" s="43">
        <f t="shared" ref="D40:E40" si="15">D11/D28*100</f>
        <v>1.8191120459325791E-2</v>
      </c>
      <c r="E40" s="43">
        <f t="shared" si="15"/>
        <v>0</v>
      </c>
      <c r="F40" s="43">
        <f>F11/F28*100</f>
        <v>0.21374566539707807</v>
      </c>
      <c r="G40" s="43">
        <f>G11/G28*100</f>
        <v>0</v>
      </c>
    </row>
    <row r="42" spans="1:7" x14ac:dyDescent="0.25">
      <c r="A42" s="43" t="s">
        <v>28</v>
      </c>
    </row>
    <row r="43" spans="1:7" x14ac:dyDescent="0.25">
      <c r="A43" s="43" t="s">
        <v>29</v>
      </c>
      <c r="B43" s="43">
        <f>B11/B10*100</f>
        <v>44.444444444444443</v>
      </c>
      <c r="C43" s="43">
        <f>C11/C10*100</f>
        <v>14.678899082568808</v>
      </c>
      <c r="D43" s="43">
        <f t="shared" ref="D43:E43" si="16">D11/D10*100</f>
        <v>14.678899082568808</v>
      </c>
      <c r="E43" s="43" t="e">
        <f t="shared" si="16"/>
        <v>#DIV/0!</v>
      </c>
      <c r="F43" s="43">
        <f>F11/F10*100</f>
        <v>53.714285714285715</v>
      </c>
      <c r="G43" s="43" t="e">
        <f>G11/G10*100</f>
        <v>#DIV/0!</v>
      </c>
    </row>
    <row r="44" spans="1:7" x14ac:dyDescent="0.25">
      <c r="A44" s="43" t="s">
        <v>30</v>
      </c>
      <c r="B44" s="43">
        <f>B17/B16*100</f>
        <v>5.2407862407862407</v>
      </c>
      <c r="C44" s="43">
        <f>C17/C16*100</f>
        <v>0</v>
      </c>
      <c r="D44" s="43">
        <f t="shared" ref="D44:E44" si="17">D17/D16*100</f>
        <v>0</v>
      </c>
      <c r="E44" s="43" t="e">
        <f t="shared" si="17"/>
        <v>#DIV/0!</v>
      </c>
      <c r="F44" s="43">
        <f>F17/F16*100</f>
        <v>26.662500000000001</v>
      </c>
      <c r="G44" s="43" t="e">
        <f>G17/G16*100</f>
        <v>#DIV/0!</v>
      </c>
    </row>
    <row r="45" spans="1:7" x14ac:dyDescent="0.25">
      <c r="A45" s="43" t="s">
        <v>31</v>
      </c>
      <c r="B45" s="43">
        <f>AVERAGE(B43:B44)</f>
        <v>24.842615342615343</v>
      </c>
      <c r="C45" s="43">
        <f t="shared" ref="C45:G45" si="18">AVERAGE(C43:C44)</f>
        <v>7.3394495412844041</v>
      </c>
      <c r="D45" s="43">
        <f t="shared" ref="D45:E45" si="19">AVERAGE(D43:D44)</f>
        <v>7.3394495412844041</v>
      </c>
      <c r="E45" s="43" t="e">
        <f t="shared" si="19"/>
        <v>#DIV/0!</v>
      </c>
      <c r="F45" s="43">
        <f t="shared" si="18"/>
        <v>40.188392857142858</v>
      </c>
      <c r="G45" s="43" t="e">
        <f t="shared" si="18"/>
        <v>#DIV/0!</v>
      </c>
    </row>
    <row r="47" spans="1:7" x14ac:dyDescent="0.25">
      <c r="A47" s="43" t="s">
        <v>32</v>
      </c>
    </row>
    <row r="48" spans="1:7" x14ac:dyDescent="0.25">
      <c r="A48" s="43" t="s">
        <v>33</v>
      </c>
      <c r="B48" s="43">
        <f>B11/B12*100</f>
        <v>7.8977932636469221</v>
      </c>
      <c r="C48" s="43">
        <f>C11/C12*100</f>
        <v>1.9207683073229291</v>
      </c>
      <c r="D48" s="43">
        <f t="shared" ref="D48:E48" si="20">D11/D12*100</f>
        <v>5.3333333333333339</v>
      </c>
      <c r="E48" s="43">
        <f t="shared" si="20"/>
        <v>0</v>
      </c>
      <c r="F48" s="43">
        <f>F11/F12*100</f>
        <v>10.742857142857144</v>
      </c>
      <c r="G48" s="43" t="e">
        <f>G11/G12*100</f>
        <v>#DIV/0!</v>
      </c>
    </row>
    <row r="49" spans="1:7" x14ac:dyDescent="0.25">
      <c r="A49" s="43" t="s">
        <v>34</v>
      </c>
      <c r="B49" s="43">
        <f>B17/B18*100</f>
        <v>0.73577095550189719</v>
      </c>
      <c r="C49" s="43">
        <f>C17/C18*100</f>
        <v>0</v>
      </c>
      <c r="D49" s="43">
        <f t="shared" ref="D49:E49" si="21">D17/D18*100</f>
        <v>0</v>
      </c>
      <c r="E49" s="43">
        <f t="shared" si="21"/>
        <v>0</v>
      </c>
      <c r="F49" s="43">
        <f>F17/F18*100</f>
        <v>5.3324999999999996</v>
      </c>
      <c r="G49" s="43" t="e">
        <f>G17/G18*100</f>
        <v>#DIV/0!</v>
      </c>
    </row>
    <row r="50" spans="1:7" x14ac:dyDescent="0.25">
      <c r="A50" s="43" t="s">
        <v>35</v>
      </c>
      <c r="B50" s="43">
        <f>(B48+B49)/2</f>
        <v>4.3167821095744099</v>
      </c>
      <c r="C50" s="43">
        <f t="shared" ref="C50:G50" si="22">(C48+C49)/2</f>
        <v>0.96038415366146457</v>
      </c>
      <c r="D50" s="43">
        <f t="shared" ref="D50:E50" si="23">(D48+D49)/2</f>
        <v>2.666666666666667</v>
      </c>
      <c r="E50" s="43">
        <f t="shared" si="23"/>
        <v>0</v>
      </c>
      <c r="F50" s="43">
        <f t="shared" si="22"/>
        <v>8.0376785714285717</v>
      </c>
      <c r="G50" s="43" t="e">
        <f t="shared" si="22"/>
        <v>#DIV/0!</v>
      </c>
    </row>
    <row r="52" spans="1:7" x14ac:dyDescent="0.25">
      <c r="A52" s="43" t="s">
        <v>36</v>
      </c>
      <c r="B52" s="43">
        <f>B19/B17*100</f>
        <v>0</v>
      </c>
      <c r="C52" s="43" t="e">
        <f>C19/C17*100</f>
        <v>#DIV/0!</v>
      </c>
      <c r="D52" s="43" t="e">
        <f t="shared" ref="D52:E52" si="24">D19/D17*100</f>
        <v>#DIV/0!</v>
      </c>
      <c r="E52" s="43" t="e">
        <f t="shared" si="24"/>
        <v>#DIV/0!</v>
      </c>
      <c r="F52" s="43">
        <f>F19/F17*100</f>
        <v>0</v>
      </c>
      <c r="G52" s="43" t="e">
        <f>G19/G17*100</f>
        <v>#DIV/0!</v>
      </c>
    </row>
    <row r="54" spans="1:7" x14ac:dyDescent="0.25">
      <c r="A54" s="43" t="s">
        <v>37</v>
      </c>
    </row>
    <row r="55" spans="1:7" x14ac:dyDescent="0.25">
      <c r="A55" s="43" t="s">
        <v>38</v>
      </c>
      <c r="B55" s="43">
        <f>((B11/B9)-1)*100</f>
        <v>88.888888888888886</v>
      </c>
      <c r="C55" s="43">
        <f>((C11/C9)-1)*100</f>
        <v>-85.18518518518519</v>
      </c>
      <c r="D55" s="43">
        <f t="shared" ref="D55:E55" si="25">((D11/D9)-1)*100</f>
        <v>-85.18518518518519</v>
      </c>
      <c r="E55" s="43" t="e">
        <f t="shared" si="25"/>
        <v>#DIV/0!</v>
      </c>
      <c r="F55" s="43" t="e">
        <f>((F11/F9)-1)*100</f>
        <v>#DIV/0!</v>
      </c>
      <c r="G55" s="43" t="e">
        <f>((G11/G9)-1)*100</f>
        <v>#DIV/0!</v>
      </c>
    </row>
    <row r="56" spans="1:7" x14ac:dyDescent="0.25">
      <c r="A56" s="43" t="s">
        <v>39</v>
      </c>
      <c r="B56" s="43">
        <f>((B32/B31)-1)*100</f>
        <v>-96.145276171116009</v>
      </c>
      <c r="C56" s="43">
        <f>((C32/C31)-1)*100</f>
        <v>-100</v>
      </c>
      <c r="D56" s="43">
        <f t="shared" ref="D56:E56" si="26">((D32/D31)-1)*100</f>
        <v>-100</v>
      </c>
      <c r="E56" s="43" t="e">
        <f t="shared" si="26"/>
        <v>#DIV/0!</v>
      </c>
      <c r="F56" s="43">
        <f>((F32/F31)-1)*100</f>
        <v>-57.338195443593641</v>
      </c>
      <c r="G56" s="43" t="e">
        <f>((G32/G31)-1)*100</f>
        <v>#DIV/0!</v>
      </c>
    </row>
    <row r="57" spans="1:7" x14ac:dyDescent="0.25">
      <c r="A57" s="43" t="s">
        <v>40</v>
      </c>
      <c r="B57" s="43">
        <f>((B34/B33)-1)*100</f>
        <v>-97.959263855296712</v>
      </c>
      <c r="C57" s="43">
        <f t="shared" ref="C57:G57" si="27">((C34/C33)-1)*100</f>
        <v>-100</v>
      </c>
      <c r="D57" s="43">
        <f t="shared" ref="D57:E57" si="28">((D34/D33)-1)*100</f>
        <v>-100</v>
      </c>
      <c r="E57" s="43" t="e">
        <f t="shared" si="28"/>
        <v>#DIV/0!</v>
      </c>
      <c r="F57" s="43" t="e">
        <f t="shared" si="27"/>
        <v>#DIV/0!</v>
      </c>
      <c r="G57" s="43" t="e">
        <f t="shared" si="27"/>
        <v>#DIV/0!</v>
      </c>
    </row>
    <row r="59" spans="1:7" x14ac:dyDescent="0.25">
      <c r="A59" s="43" t="s">
        <v>41</v>
      </c>
    </row>
    <row r="60" spans="1:7" x14ac:dyDescent="0.25">
      <c r="A60" s="43" t="s">
        <v>168</v>
      </c>
      <c r="B60" s="8">
        <f>B16/(B10*3)</f>
        <v>147785.03994190268</v>
      </c>
      <c r="C60" s="8">
        <f t="shared" ref="C60:G60" si="29">C16/(C10*3)</f>
        <v>500000</v>
      </c>
      <c r="D60" s="8">
        <f t="shared" si="29"/>
        <v>500000</v>
      </c>
      <c r="E60" s="8" t="e">
        <f t="shared" si="29"/>
        <v>#DIV/0!</v>
      </c>
      <c r="F60" s="8">
        <f t="shared" si="29"/>
        <v>38095.238095238092</v>
      </c>
      <c r="G60" s="8" t="e">
        <f t="shared" si="29"/>
        <v>#DIV/0!</v>
      </c>
    </row>
    <row r="61" spans="1:7" x14ac:dyDescent="0.25">
      <c r="A61" s="43" t="s">
        <v>169</v>
      </c>
      <c r="B61" s="8">
        <f>B17/(B11*3)</f>
        <v>17426.470588235294</v>
      </c>
      <c r="C61" s="8">
        <f t="shared" ref="C61:G61" si="30">C17/(C11*3)</f>
        <v>0</v>
      </c>
      <c r="D61" s="8">
        <f t="shared" si="30"/>
        <v>0</v>
      </c>
      <c r="E61" s="8" t="e">
        <f t="shared" si="30"/>
        <v>#DIV/0!</v>
      </c>
      <c r="F61" s="8">
        <f t="shared" si="30"/>
        <v>18909.574468085106</v>
      </c>
      <c r="G61" s="8" t="e">
        <f t="shared" si="30"/>
        <v>#DIV/0!</v>
      </c>
    </row>
    <row r="62" spans="1:7" x14ac:dyDescent="0.25">
      <c r="A62" s="43" t="s">
        <v>42</v>
      </c>
      <c r="B62" s="43">
        <f>(B60/B61)*B45</f>
        <v>210.67759430003528</v>
      </c>
      <c r="C62" s="43" t="e">
        <f t="shared" ref="C62:F62" si="31">(C60/C61)*C45</f>
        <v>#DIV/0!</v>
      </c>
      <c r="D62" s="43" t="e">
        <f t="shared" ref="D62:E62" si="32">(D60/D61)*D45</f>
        <v>#DIV/0!</v>
      </c>
      <c r="E62" s="43" t="e">
        <f t="shared" si="32"/>
        <v>#DIV/0!</v>
      </c>
      <c r="F62" s="43">
        <f t="shared" si="31"/>
        <v>80.96355616789613</v>
      </c>
      <c r="G62" s="43" t="e">
        <f t="shared" ref="G62" si="33">G60/G61*G45</f>
        <v>#DIV/0!</v>
      </c>
    </row>
    <row r="63" spans="1:7" x14ac:dyDescent="0.25">
      <c r="A63" s="43" t="s">
        <v>170</v>
      </c>
      <c r="B63" s="8">
        <f>B16/B10</f>
        <v>443355.11982570804</v>
      </c>
      <c r="C63" s="8">
        <f t="shared" ref="C63:G63" si="34">C16/C10</f>
        <v>1500000</v>
      </c>
      <c r="D63" s="8">
        <f t="shared" si="34"/>
        <v>1500000</v>
      </c>
      <c r="E63" s="8" t="e">
        <f t="shared" si="34"/>
        <v>#DIV/0!</v>
      </c>
      <c r="F63" s="8">
        <f t="shared" si="34"/>
        <v>114285.71428571429</v>
      </c>
      <c r="G63" s="8" t="e">
        <f t="shared" si="34"/>
        <v>#DIV/0!</v>
      </c>
    </row>
    <row r="64" spans="1:7" x14ac:dyDescent="0.25">
      <c r="A64" s="43" t="s">
        <v>171</v>
      </c>
      <c r="B64" s="8">
        <f>B17/B11</f>
        <v>52279.411764705881</v>
      </c>
      <c r="C64" s="8">
        <f>C17/C11</f>
        <v>0</v>
      </c>
      <c r="D64" s="8">
        <f t="shared" ref="D64:G64" si="35">D17/D11</f>
        <v>0</v>
      </c>
      <c r="E64" s="8" t="e">
        <f t="shared" si="35"/>
        <v>#DIV/0!</v>
      </c>
      <c r="F64" s="8">
        <f t="shared" si="35"/>
        <v>56728.723404255317</v>
      </c>
      <c r="G64" s="8" t="e">
        <f t="shared" si="35"/>
        <v>#DIV/0!</v>
      </c>
    </row>
    <row r="66" spans="1:7" x14ac:dyDescent="0.25">
      <c r="A66" s="43" t="s">
        <v>43</v>
      </c>
    </row>
    <row r="67" spans="1:7" x14ac:dyDescent="0.25">
      <c r="A67" s="43" t="s">
        <v>44</v>
      </c>
      <c r="B67" s="43">
        <f>(B23/B22)*100</f>
        <v>590.66339066339071</v>
      </c>
      <c r="D67" s="43">
        <f>(D23/D22)*100</f>
        <v>710.70336391437309</v>
      </c>
      <c r="E67" s="43">
        <f>(E23/(E22+F22))*100</f>
        <v>100</v>
      </c>
    </row>
    <row r="68" spans="1:7" x14ac:dyDescent="0.25">
      <c r="A68" s="43" t="s">
        <v>45</v>
      </c>
      <c r="B68" s="43">
        <f>(B17/B23)*100</f>
        <v>0.88727121464226288</v>
      </c>
      <c r="D68" s="43">
        <f t="shared" ref="D68" si="36">(D17/D23)*100</f>
        <v>0</v>
      </c>
      <c r="E68" s="43">
        <f>((E17+F17)/E23)*100</f>
        <v>26.662500000000001</v>
      </c>
    </row>
    <row r="70" spans="1:7" ht="15.75" thickBot="1" x14ac:dyDescent="0.3">
      <c r="A70" s="53"/>
      <c r="B70" s="53"/>
      <c r="C70" s="53"/>
      <c r="D70" s="53"/>
      <c r="E70" s="53"/>
      <c r="F70" s="53"/>
      <c r="G70" s="53"/>
    </row>
    <row r="71" spans="1:7" ht="15.75" thickTop="1" x14ac:dyDescent="0.25"/>
    <row r="72" spans="1:7" x14ac:dyDescent="0.25">
      <c r="A72" s="43" t="s">
        <v>138</v>
      </c>
    </row>
    <row r="73" spans="1:7" x14ac:dyDescent="0.25">
      <c r="A73" s="43" t="s">
        <v>134</v>
      </c>
    </row>
    <row r="74" spans="1:7" x14ac:dyDescent="0.25">
      <c r="A74" s="43" t="s">
        <v>139</v>
      </c>
    </row>
    <row r="75" spans="1:7" x14ac:dyDescent="0.25">
      <c r="A75" s="43" t="s">
        <v>157</v>
      </c>
    </row>
    <row r="77" spans="1:7" x14ac:dyDescent="0.25">
      <c r="A77" s="43" t="s">
        <v>151</v>
      </c>
    </row>
    <row r="78" spans="1:7" x14ac:dyDescent="0.25">
      <c r="A78" s="43" t="s">
        <v>152</v>
      </c>
    </row>
    <row r="79" spans="1:7" x14ac:dyDescent="0.25">
      <c r="A79" s="43" t="s">
        <v>153</v>
      </c>
    </row>
    <row r="80" spans="1:7" x14ac:dyDescent="0.25">
      <c r="A80" s="43" t="s">
        <v>154</v>
      </c>
    </row>
    <row r="81" spans="1:1" x14ac:dyDescent="0.25">
      <c r="A81" s="43" t="s">
        <v>155</v>
      </c>
    </row>
    <row r="82" spans="1:1" x14ac:dyDescent="0.25">
      <c r="A82" s="43" t="s">
        <v>165</v>
      </c>
    </row>
    <row r="83" spans="1:1" x14ac:dyDescent="0.25">
      <c r="A83" s="54" t="s">
        <v>166</v>
      </c>
    </row>
    <row r="135" spans="5:6" x14ac:dyDescent="0.25">
      <c r="E135" s="55"/>
      <c r="F135" s="56"/>
    </row>
    <row r="136" spans="5:6" x14ac:dyDescent="0.25">
      <c r="E136" s="55"/>
      <c r="F136" s="56"/>
    </row>
  </sheetData>
  <mergeCells count="5">
    <mergeCell ref="G4:G5"/>
    <mergeCell ref="A1:G1"/>
    <mergeCell ref="C3:G3"/>
    <mergeCell ref="A3:A5"/>
    <mergeCell ref="C4:E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82" workbookViewId="0">
      <selection activeCell="B60" sqref="B60:F64"/>
    </sheetView>
  </sheetViews>
  <sheetFormatPr baseColWidth="10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8" width="12.7109375" style="2" bestFit="1" customWidth="1"/>
    <col min="9" max="16384" width="11.42578125" style="2"/>
  </cols>
  <sheetData>
    <row r="1" spans="1:8" x14ac:dyDescent="0.25">
      <c r="A1" s="77" t="s">
        <v>159</v>
      </c>
      <c r="B1" s="77"/>
      <c r="C1" s="77"/>
      <c r="D1" s="77"/>
      <c r="E1" s="77"/>
      <c r="F1" s="77"/>
      <c r="G1" s="77"/>
    </row>
    <row r="3" spans="1:8" x14ac:dyDescent="0.25">
      <c r="A3" s="80" t="s">
        <v>0</v>
      </c>
      <c r="B3" s="75" t="s">
        <v>46</v>
      </c>
      <c r="C3" s="78" t="s">
        <v>2</v>
      </c>
      <c r="D3" s="78"/>
      <c r="E3" s="78"/>
      <c r="F3" s="78"/>
      <c r="G3" s="78"/>
    </row>
    <row r="4" spans="1:8" ht="15.75" thickBot="1" x14ac:dyDescent="0.3">
      <c r="A4" s="81"/>
      <c r="B4" s="83"/>
      <c r="C4" s="79" t="s">
        <v>3</v>
      </c>
      <c r="D4" s="79"/>
      <c r="E4" s="79"/>
      <c r="F4" s="75" t="s">
        <v>4</v>
      </c>
      <c r="G4" s="75" t="s">
        <v>5</v>
      </c>
    </row>
    <row r="5" spans="1:8" ht="16.5" thickTop="1" thickBot="1" x14ac:dyDescent="0.3">
      <c r="A5" s="82"/>
      <c r="B5" s="76"/>
      <c r="C5" s="35" t="s">
        <v>1</v>
      </c>
      <c r="D5" s="35" t="s">
        <v>135</v>
      </c>
      <c r="E5" s="35" t="s">
        <v>137</v>
      </c>
      <c r="F5" s="76"/>
      <c r="G5" s="76"/>
    </row>
    <row r="6" spans="1:8" ht="15.75" thickTop="1" x14ac:dyDescent="0.25">
      <c r="A6" s="36"/>
      <c r="B6" s="37"/>
      <c r="C6" s="38"/>
      <c r="D6" s="38"/>
      <c r="E6" s="38"/>
      <c r="F6" s="37"/>
      <c r="G6" s="37"/>
    </row>
    <row r="7" spans="1:8" x14ac:dyDescent="0.25">
      <c r="A7" s="4" t="s">
        <v>6</v>
      </c>
    </row>
    <row r="8" spans="1:8" x14ac:dyDescent="0.25">
      <c r="A8" s="2" t="s">
        <v>7</v>
      </c>
    </row>
    <row r="9" spans="1:8" x14ac:dyDescent="0.25">
      <c r="A9" s="2" t="s">
        <v>49</v>
      </c>
      <c r="B9" s="5">
        <f>C9+F9+G9</f>
        <v>658</v>
      </c>
      <c r="C9" s="5">
        <f>D9+E9</f>
        <v>518</v>
      </c>
      <c r="D9" s="5">
        <v>206</v>
      </c>
      <c r="E9" s="5">
        <v>312</v>
      </c>
      <c r="F9" s="40">
        <v>140</v>
      </c>
      <c r="G9" s="5">
        <v>0</v>
      </c>
    </row>
    <row r="10" spans="1:8" x14ac:dyDescent="0.25">
      <c r="A10" s="2" t="s">
        <v>50</v>
      </c>
      <c r="B10" s="5">
        <f t="shared" ref="B10:B12" si="0">C10+F10+G10</f>
        <v>770</v>
      </c>
      <c r="C10" s="5">
        <f t="shared" ref="C10:C12" si="1">D10+E10</f>
        <v>245</v>
      </c>
      <c r="D10" s="5">
        <v>0</v>
      </c>
      <c r="E10" s="5">
        <v>245</v>
      </c>
      <c r="F10" s="5">
        <v>525</v>
      </c>
      <c r="G10" s="5">
        <v>0</v>
      </c>
    </row>
    <row r="11" spans="1:8" x14ac:dyDescent="0.25">
      <c r="A11" s="2" t="s">
        <v>51</v>
      </c>
      <c r="B11" s="5">
        <f t="shared" si="0"/>
        <v>641</v>
      </c>
      <c r="C11" s="5">
        <f t="shared" si="1"/>
        <v>131</v>
      </c>
      <c r="D11" s="5">
        <v>0</v>
      </c>
      <c r="E11" s="5">
        <v>131</v>
      </c>
      <c r="F11" s="5">
        <v>510</v>
      </c>
      <c r="G11" s="5">
        <v>0</v>
      </c>
    </row>
    <row r="12" spans="1:8" x14ac:dyDescent="0.25">
      <c r="A12" s="2" t="s">
        <v>11</v>
      </c>
      <c r="B12" s="5">
        <f t="shared" si="0"/>
        <v>2583</v>
      </c>
      <c r="C12" s="5">
        <f t="shared" si="1"/>
        <v>833</v>
      </c>
      <c r="D12" s="5">
        <v>300</v>
      </c>
      <c r="E12" s="5">
        <v>533</v>
      </c>
      <c r="F12" s="5">
        <v>1750</v>
      </c>
      <c r="G12" s="5">
        <v>0</v>
      </c>
    </row>
    <row r="13" spans="1:8" x14ac:dyDescent="0.25">
      <c r="B13" s="1"/>
      <c r="C13" s="1"/>
      <c r="D13" s="1"/>
      <c r="E13" s="1"/>
      <c r="F13" s="1"/>
      <c r="G13" s="1"/>
    </row>
    <row r="14" spans="1:8" x14ac:dyDescent="0.25">
      <c r="A14" s="2" t="s">
        <v>12</v>
      </c>
      <c r="B14" s="1"/>
      <c r="C14" s="1"/>
      <c r="D14" s="1"/>
      <c r="E14" s="1"/>
      <c r="F14" s="1"/>
      <c r="G14" s="1"/>
    </row>
    <row r="15" spans="1:8" x14ac:dyDescent="0.25">
      <c r="A15" s="2" t="s">
        <v>52</v>
      </c>
      <c r="B15" s="5">
        <f>C15+F15+G15</f>
        <v>724584492.58999991</v>
      </c>
      <c r="C15" s="5">
        <f t="shared" ref="C15:C18" si="2">D15+E15</f>
        <v>699149492.58999991</v>
      </c>
      <c r="D15" s="5">
        <v>269732057.58999997</v>
      </c>
      <c r="E15" s="5">
        <v>429417435</v>
      </c>
      <c r="F15" s="41">
        <v>25435000</v>
      </c>
      <c r="G15" s="5">
        <v>0</v>
      </c>
      <c r="H15" s="1"/>
    </row>
    <row r="16" spans="1:8" x14ac:dyDescent="0.25">
      <c r="A16" s="2" t="s">
        <v>50</v>
      </c>
      <c r="B16" s="5">
        <f t="shared" ref="B16:B19" si="3">C16+F16+G16</f>
        <v>427500000</v>
      </c>
      <c r="C16" s="5">
        <f t="shared" si="2"/>
        <v>367500000</v>
      </c>
      <c r="D16" s="5">
        <f>D10*1500000</f>
        <v>0</v>
      </c>
      <c r="E16" s="5">
        <f>E10*1500000</f>
        <v>367500000</v>
      </c>
      <c r="F16" s="5">
        <v>60000000</v>
      </c>
      <c r="G16" s="5">
        <v>0</v>
      </c>
    </row>
    <row r="17" spans="1:7" x14ac:dyDescent="0.25">
      <c r="A17" s="2" t="s">
        <v>51</v>
      </c>
      <c r="B17" s="5">
        <f t="shared" si="3"/>
        <v>249447961.88999999</v>
      </c>
      <c r="C17" s="5">
        <f t="shared" si="2"/>
        <v>211352461.97</v>
      </c>
      <c r="D17" s="5">
        <v>0</v>
      </c>
      <c r="E17" s="5">
        <v>211352461.97</v>
      </c>
      <c r="F17" s="5">
        <v>38095499.920000002</v>
      </c>
      <c r="G17" s="5">
        <v>0</v>
      </c>
    </row>
    <row r="18" spans="1:7" x14ac:dyDescent="0.25">
      <c r="A18" s="2" t="s">
        <v>11</v>
      </c>
      <c r="B18" s="5">
        <f t="shared" si="3"/>
        <v>1449500000</v>
      </c>
      <c r="C18" s="5">
        <f t="shared" si="2"/>
        <v>1249500000</v>
      </c>
      <c r="D18" s="5">
        <v>450000000</v>
      </c>
      <c r="E18" s="5">
        <v>799500000</v>
      </c>
      <c r="F18" s="11">
        <v>200000000</v>
      </c>
      <c r="G18" s="5">
        <v>0</v>
      </c>
    </row>
    <row r="19" spans="1:7" x14ac:dyDescent="0.25">
      <c r="A19" s="2" t="s">
        <v>53</v>
      </c>
      <c r="B19" s="5">
        <f t="shared" si="3"/>
        <v>211352461.97</v>
      </c>
      <c r="C19" s="5">
        <f>C17</f>
        <v>211352461.97</v>
      </c>
      <c r="D19" s="5">
        <f t="shared" ref="D19:E19" si="4">D17</f>
        <v>0</v>
      </c>
      <c r="E19" s="5">
        <f t="shared" si="4"/>
        <v>211352461.97</v>
      </c>
      <c r="F19" s="5"/>
      <c r="G19" s="5"/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14</v>
      </c>
      <c r="B21" s="1"/>
      <c r="C21" s="1"/>
      <c r="D21" s="1"/>
      <c r="E21" s="1"/>
      <c r="F21" s="1"/>
      <c r="G21" s="1"/>
    </row>
    <row r="22" spans="1:7" x14ac:dyDescent="0.25">
      <c r="A22" s="2" t="s">
        <v>50</v>
      </c>
      <c r="B22" s="5">
        <f>C22+F22+G22</f>
        <v>427500000</v>
      </c>
      <c r="C22" s="5">
        <f>D22+E22</f>
        <v>367500000</v>
      </c>
      <c r="D22" s="5">
        <f t="shared" ref="D22:G22" si="5">D16</f>
        <v>0</v>
      </c>
      <c r="E22" s="5">
        <f>E16</f>
        <v>367500000</v>
      </c>
      <c r="F22" s="5">
        <f t="shared" si="5"/>
        <v>60000000</v>
      </c>
      <c r="G22" s="5">
        <f t="shared" si="5"/>
        <v>0</v>
      </c>
    </row>
    <row r="23" spans="1:7" x14ac:dyDescent="0.25">
      <c r="A23" s="2" t="s">
        <v>51</v>
      </c>
      <c r="B23" s="5">
        <v>720830000</v>
      </c>
      <c r="C23" s="1"/>
      <c r="D23" s="5">
        <v>297000000</v>
      </c>
      <c r="E23" s="5">
        <v>423830000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15</v>
      </c>
      <c r="B25" s="1"/>
      <c r="C25" s="1"/>
      <c r="D25" s="1"/>
      <c r="E25" s="1"/>
      <c r="F25" s="1"/>
      <c r="G25" s="1"/>
    </row>
    <row r="26" spans="1:7" x14ac:dyDescent="0.25">
      <c r="A26" s="2" t="s">
        <v>54</v>
      </c>
      <c r="B26" s="1">
        <v>1.39</v>
      </c>
      <c r="C26" s="1">
        <v>1.39</v>
      </c>
      <c r="D26" s="1">
        <v>1.39</v>
      </c>
      <c r="E26" s="1">
        <v>1.39</v>
      </c>
      <c r="F26" s="1">
        <v>1.39</v>
      </c>
      <c r="G26" s="1">
        <v>1.39</v>
      </c>
    </row>
    <row r="27" spans="1:7" x14ac:dyDescent="0.25">
      <c r="A27" s="2" t="s">
        <v>55</v>
      </c>
      <c r="B27" s="1">
        <v>1.46</v>
      </c>
      <c r="C27" s="1">
        <v>1.46</v>
      </c>
      <c r="D27" s="1">
        <v>1.46</v>
      </c>
      <c r="E27" s="1">
        <v>1.46</v>
      </c>
      <c r="F27" s="1">
        <v>1.46</v>
      </c>
      <c r="G27" s="1">
        <v>1.46</v>
      </c>
    </row>
    <row r="28" spans="1:7" x14ac:dyDescent="0.25">
      <c r="A28" s="2" t="s">
        <v>18</v>
      </c>
      <c r="B28" s="5">
        <v>87955</v>
      </c>
      <c r="C28" s="5">
        <v>87955</v>
      </c>
      <c r="D28" s="5">
        <v>87955</v>
      </c>
      <c r="E28" s="5">
        <v>87955</v>
      </c>
      <c r="F28" s="5">
        <v>87955</v>
      </c>
      <c r="G28" s="5">
        <v>87955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19</v>
      </c>
      <c r="B30" s="1"/>
      <c r="C30" s="1"/>
      <c r="D30" s="1"/>
      <c r="E30" s="1"/>
      <c r="F30" s="1"/>
      <c r="G30" s="1"/>
    </row>
    <row r="31" spans="1:7" x14ac:dyDescent="0.25">
      <c r="A31" s="2" t="s">
        <v>56</v>
      </c>
      <c r="B31" s="5">
        <f>B15/B26</f>
        <v>521283807.61870503</v>
      </c>
      <c r="C31" s="5">
        <f>C15/C26</f>
        <v>502985246.46762586</v>
      </c>
      <c r="D31" s="5">
        <f t="shared" ref="D31:E31" si="6">D15/D26</f>
        <v>194051839.99280575</v>
      </c>
      <c r="E31" s="5">
        <f t="shared" si="6"/>
        <v>308933406.47482014</v>
      </c>
      <c r="F31" s="5">
        <f t="shared" ref="F31:G31" si="7">F15/F26</f>
        <v>18298561.151079137</v>
      </c>
      <c r="G31" s="5">
        <f t="shared" si="7"/>
        <v>0</v>
      </c>
    </row>
    <row r="32" spans="1:7" x14ac:dyDescent="0.25">
      <c r="A32" s="2" t="s">
        <v>57</v>
      </c>
      <c r="B32" s="5">
        <f>B17/B27</f>
        <v>170854768.4178082</v>
      </c>
      <c r="C32" s="5">
        <f t="shared" ref="C32:G32" si="8">C17/C27</f>
        <v>144761960.25342467</v>
      </c>
      <c r="D32" s="5">
        <f t="shared" ref="D32:E32" si="9">D17/D27</f>
        <v>0</v>
      </c>
      <c r="E32" s="5">
        <f t="shared" si="9"/>
        <v>144761960.25342467</v>
      </c>
      <c r="F32" s="5">
        <f t="shared" si="8"/>
        <v>26092808.164383564</v>
      </c>
      <c r="G32" s="5">
        <f t="shared" si="8"/>
        <v>0</v>
      </c>
    </row>
    <row r="33" spans="1:7" x14ac:dyDescent="0.25">
      <c r="A33" s="2" t="s">
        <v>58</v>
      </c>
      <c r="B33" s="5">
        <f>B31/B9</f>
        <v>792224.6316393693</v>
      </c>
      <c r="C33" s="5">
        <f t="shared" ref="C33:G33" si="10">C31/C9</f>
        <v>971013.98931974103</v>
      </c>
      <c r="D33" s="5">
        <f t="shared" ref="D33:E33" si="11">D31/D9</f>
        <v>941999.22326604731</v>
      </c>
      <c r="E33" s="5">
        <f t="shared" si="11"/>
        <v>990171.17459878244</v>
      </c>
      <c r="F33" s="5">
        <f>F31/F9</f>
        <v>130704.00822199383</v>
      </c>
      <c r="G33" s="5" t="e">
        <f t="shared" si="10"/>
        <v>#DIV/0!</v>
      </c>
    </row>
    <row r="34" spans="1:7" x14ac:dyDescent="0.25">
      <c r="A34" s="2" t="s">
        <v>59</v>
      </c>
      <c r="B34" s="5">
        <f>B32/B11</f>
        <v>266544.10049580061</v>
      </c>
      <c r="C34" s="5">
        <f t="shared" ref="C34:G34" si="12">C32/C11</f>
        <v>1105053.1317055319</v>
      </c>
      <c r="D34" s="5" t="e">
        <f t="shared" ref="D34:E34" si="13">D32/D11</f>
        <v>#DIV/0!</v>
      </c>
      <c r="E34" s="5">
        <f t="shared" si="13"/>
        <v>1105053.1317055319</v>
      </c>
      <c r="F34" s="5">
        <f>F32/F11</f>
        <v>51162.368949771691</v>
      </c>
      <c r="G34" s="5" t="e">
        <f t="shared" si="12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24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25</v>
      </c>
      <c r="B38" s="1"/>
      <c r="C38" s="1"/>
      <c r="D38" s="1"/>
      <c r="E38" s="1"/>
      <c r="F38" s="1"/>
      <c r="G38" s="1"/>
    </row>
    <row r="39" spans="1:7" x14ac:dyDescent="0.25">
      <c r="A39" s="2" t="s">
        <v>26</v>
      </c>
      <c r="B39" s="1">
        <f>B10/B28*100</f>
        <v>0.87544767210505381</v>
      </c>
      <c r="C39" s="1">
        <f>C10/C28*100</f>
        <v>0.2785515320334262</v>
      </c>
      <c r="D39" s="1">
        <f t="shared" ref="D39:E39" si="14">D10/D28*100</f>
        <v>0</v>
      </c>
      <c r="E39" s="1">
        <f t="shared" si="14"/>
        <v>0.2785515320334262</v>
      </c>
      <c r="F39" s="1">
        <f>F10/F28*100</f>
        <v>0.5968961400716275</v>
      </c>
      <c r="G39" s="1">
        <f>G10/G28*100</f>
        <v>0</v>
      </c>
    </row>
    <row r="40" spans="1:7" x14ac:dyDescent="0.25">
      <c r="A40" s="2" t="s">
        <v>27</v>
      </c>
      <c r="B40" s="1">
        <f>B11/B28*100</f>
        <v>0.7287817634017395</v>
      </c>
      <c r="C40" s="1">
        <f>C11/C28*100</f>
        <v>0.14893979876072994</v>
      </c>
      <c r="D40" s="1">
        <f t="shared" ref="D40:E40" si="15">D11/D28*100</f>
        <v>0</v>
      </c>
      <c r="E40" s="1">
        <f t="shared" si="15"/>
        <v>0.14893979876072994</v>
      </c>
      <c r="F40" s="1">
        <f>F11/F28*100</f>
        <v>0.57984196464100968</v>
      </c>
      <c r="G40" s="1">
        <f>G11/G28*100</f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28</v>
      </c>
      <c r="B42" s="1"/>
      <c r="C42" s="1"/>
      <c r="D42" s="1"/>
      <c r="E42" s="1"/>
      <c r="F42" s="1"/>
      <c r="G42" s="1"/>
    </row>
    <row r="43" spans="1:7" x14ac:dyDescent="0.25">
      <c r="A43" s="2" t="s">
        <v>29</v>
      </c>
      <c r="B43" s="1">
        <f>B11/B10*100</f>
        <v>83.246753246753244</v>
      </c>
      <c r="C43" s="1">
        <f>C11/C10*100</f>
        <v>53.469387755102041</v>
      </c>
      <c r="D43" s="1" t="e">
        <f t="shared" ref="D43:E43" si="16">D11/D10*100</f>
        <v>#DIV/0!</v>
      </c>
      <c r="E43" s="1">
        <f t="shared" si="16"/>
        <v>53.469387755102041</v>
      </c>
      <c r="F43" s="1">
        <f t="shared" ref="F43:G43" si="17">F11/F10*100</f>
        <v>97.142857142857139</v>
      </c>
      <c r="G43" s="1" t="e">
        <f t="shared" si="17"/>
        <v>#DIV/0!</v>
      </c>
    </row>
    <row r="44" spans="1:7" x14ac:dyDescent="0.25">
      <c r="A44" s="2" t="s">
        <v>30</v>
      </c>
      <c r="B44" s="1">
        <f>B17/B16*100</f>
        <v>58.350400442105254</v>
      </c>
      <c r="C44" s="1">
        <f t="shared" ref="C44:G44" si="18">C17/C16*100</f>
        <v>57.510874005442183</v>
      </c>
      <c r="D44" s="1" t="e">
        <f t="shared" ref="D44:E44" si="19">D17/D16*100</f>
        <v>#DIV/0!</v>
      </c>
      <c r="E44" s="1">
        <f t="shared" si="19"/>
        <v>57.510874005442183</v>
      </c>
      <c r="F44" s="1">
        <f t="shared" si="18"/>
        <v>63.492499866666677</v>
      </c>
      <c r="G44" s="1" t="e">
        <f t="shared" si="18"/>
        <v>#DIV/0!</v>
      </c>
    </row>
    <row r="45" spans="1:7" x14ac:dyDescent="0.25">
      <c r="A45" s="2" t="s">
        <v>31</v>
      </c>
      <c r="B45" s="1">
        <f>AVERAGE(B43:B44)</f>
        <v>70.798576844429249</v>
      </c>
      <c r="C45" s="1">
        <f t="shared" ref="C45:G45" si="20">AVERAGE(C43:C44)</f>
        <v>55.490130880272112</v>
      </c>
      <c r="D45" s="1" t="e">
        <f t="shared" ref="D45:E45" si="21">AVERAGE(D43:D44)</f>
        <v>#DIV/0!</v>
      </c>
      <c r="E45" s="1">
        <f t="shared" si="21"/>
        <v>55.490130880272112</v>
      </c>
      <c r="F45" s="1">
        <f t="shared" si="20"/>
        <v>80.317678504761915</v>
      </c>
      <c r="G45" s="1" t="e">
        <f t="shared" si="20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32</v>
      </c>
      <c r="B47" s="1"/>
      <c r="C47" s="1"/>
      <c r="D47" s="1"/>
      <c r="E47" s="1"/>
      <c r="F47" s="1"/>
      <c r="G47" s="1"/>
    </row>
    <row r="48" spans="1:7" x14ac:dyDescent="0.25">
      <c r="A48" s="2" t="s">
        <v>33</v>
      </c>
      <c r="B48" s="1">
        <f>B11/B12*100</f>
        <v>24.816105303910181</v>
      </c>
      <c r="C48" s="1">
        <f t="shared" ref="C48:G48" si="22">C11/C12*100</f>
        <v>15.726290516206481</v>
      </c>
      <c r="D48" s="1">
        <f t="shared" ref="D48:E48" si="23">D11/D12*100</f>
        <v>0</v>
      </c>
      <c r="E48" s="1">
        <f t="shared" si="23"/>
        <v>24.577861163227016</v>
      </c>
      <c r="F48" s="1">
        <f t="shared" si="22"/>
        <v>29.142857142857142</v>
      </c>
      <c r="G48" s="1" t="e">
        <f t="shared" si="22"/>
        <v>#DIV/0!</v>
      </c>
    </row>
    <row r="49" spans="1:7" x14ac:dyDescent="0.25">
      <c r="A49" s="2" t="s">
        <v>34</v>
      </c>
      <c r="B49" s="1">
        <f>B17/B18*100</f>
        <v>17.209241937909621</v>
      </c>
      <c r="C49" s="1">
        <f t="shared" ref="C49:G49" si="24">C17/C18*100</f>
        <v>16.914962942777112</v>
      </c>
      <c r="D49" s="1">
        <f t="shared" ref="D49:E49" si="25">D17/D18*100</f>
        <v>0</v>
      </c>
      <c r="E49" s="1">
        <f t="shared" si="25"/>
        <v>26.435579983739839</v>
      </c>
      <c r="F49" s="1">
        <f t="shared" si="24"/>
        <v>19.047749960000001</v>
      </c>
      <c r="G49" s="1" t="e">
        <f t="shared" si="24"/>
        <v>#DIV/0!</v>
      </c>
    </row>
    <row r="50" spans="1:7" x14ac:dyDescent="0.25">
      <c r="A50" s="2" t="s">
        <v>35</v>
      </c>
      <c r="B50" s="1">
        <f>AVERAGE(B48:B49)</f>
        <v>21.012673620909901</v>
      </c>
      <c r="C50" s="1">
        <f t="shared" ref="C50:G50" si="26">AVERAGE(C48:C49)</f>
        <v>16.320626729491796</v>
      </c>
      <c r="D50" s="1">
        <f t="shared" ref="D50:E50" si="27">AVERAGE(D48:D49)</f>
        <v>0</v>
      </c>
      <c r="E50" s="1">
        <f t="shared" si="27"/>
        <v>25.506720573483427</v>
      </c>
      <c r="F50" s="1">
        <f t="shared" si="26"/>
        <v>24.095303551428572</v>
      </c>
      <c r="G50" s="1" t="e">
        <f t="shared" si="26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36</v>
      </c>
      <c r="B52" s="1"/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37</v>
      </c>
      <c r="B54" s="1"/>
      <c r="C54" s="1"/>
      <c r="D54" s="1"/>
      <c r="E54" s="1"/>
      <c r="F54" s="1"/>
      <c r="G54" s="1"/>
    </row>
    <row r="55" spans="1:7" x14ac:dyDescent="0.25">
      <c r="A55" s="2" t="s">
        <v>38</v>
      </c>
      <c r="B55" s="1">
        <f>((B11/B9)-1)*100</f>
        <v>-2.5835866261398222</v>
      </c>
      <c r="C55" s="1">
        <f t="shared" ref="C55:G55" si="28">((C11/C9)-1)*100</f>
        <v>-74.710424710424704</v>
      </c>
      <c r="D55" s="1">
        <f t="shared" ref="D55:E55" si="29">((D11/D9)-1)*100</f>
        <v>-100</v>
      </c>
      <c r="E55" s="1">
        <f t="shared" si="29"/>
        <v>-58.012820512820504</v>
      </c>
      <c r="F55" s="1">
        <f>((F11/F9)-1)*100</f>
        <v>264.28571428571428</v>
      </c>
      <c r="G55" s="1" t="e">
        <f t="shared" si="28"/>
        <v>#DIV/0!</v>
      </c>
    </row>
    <row r="56" spans="1:7" x14ac:dyDescent="0.25">
      <c r="A56" s="2" t="s">
        <v>39</v>
      </c>
      <c r="B56" s="1">
        <f>((B32/B31)-1)*100</f>
        <v>-67.224232573366152</v>
      </c>
      <c r="C56" s="1">
        <f t="shared" ref="C56:G56" si="30">((C32/C31)-1)*100</f>
        <v>-71.219442067125897</v>
      </c>
      <c r="D56" s="1">
        <f t="shared" ref="D56:E56" si="31">((D32/D31)-1)*100</f>
        <v>-100</v>
      </c>
      <c r="E56" s="1">
        <f t="shared" si="31"/>
        <v>-53.141370528595253</v>
      </c>
      <c r="F56" s="1">
        <f t="shared" si="30"/>
        <v>42.594862781573248</v>
      </c>
      <c r="G56" s="1" t="e">
        <f t="shared" si="30"/>
        <v>#DIV/0!</v>
      </c>
    </row>
    <row r="57" spans="1:7" x14ac:dyDescent="0.25">
      <c r="A57" s="2" t="s">
        <v>40</v>
      </c>
      <c r="B57" s="1">
        <f>((B34/B33)-1)*100</f>
        <v>-66.354984451286938</v>
      </c>
      <c r="C57" s="1">
        <f t="shared" ref="C57:G57" si="32">((C34/C33)-1)*100</f>
        <v>13.804038238387694</v>
      </c>
      <c r="D57" s="1" t="e">
        <f t="shared" ref="D57:E57" si="33">((D34/D33)-1)*100</f>
        <v>#DIV/0!</v>
      </c>
      <c r="E57" s="1">
        <f t="shared" si="33"/>
        <v>11.602232023498328</v>
      </c>
      <c r="F57" s="1">
        <f t="shared" si="32"/>
        <v>-60.856312177607343</v>
      </c>
      <c r="G57" s="1" t="e">
        <f t="shared" si="32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41</v>
      </c>
      <c r="B59" s="1"/>
      <c r="C59" s="1"/>
      <c r="D59" s="1"/>
      <c r="E59" s="1"/>
      <c r="F59" s="1"/>
      <c r="G59" s="1"/>
    </row>
    <row r="60" spans="1:7" x14ac:dyDescent="0.25">
      <c r="A60" s="2" t="s">
        <v>168</v>
      </c>
      <c r="B60" s="8">
        <f>B16/(B10*3)</f>
        <v>185064.93506493507</v>
      </c>
      <c r="C60" s="8">
        <f t="shared" ref="C60:G60" si="34">C16/(C10*3)</f>
        <v>500000</v>
      </c>
      <c r="D60" s="8" t="e">
        <f t="shared" si="34"/>
        <v>#DIV/0!</v>
      </c>
      <c r="E60" s="8">
        <f t="shared" si="34"/>
        <v>500000</v>
      </c>
      <c r="F60" s="8">
        <f t="shared" si="34"/>
        <v>38095.238095238092</v>
      </c>
      <c r="G60" s="5" t="e">
        <f t="shared" si="34"/>
        <v>#DIV/0!</v>
      </c>
    </row>
    <row r="61" spans="1:7" x14ac:dyDescent="0.25">
      <c r="A61" s="2" t="s">
        <v>169</v>
      </c>
      <c r="B61" s="8">
        <f>B17/(B11*3)</f>
        <v>129718.12890795631</v>
      </c>
      <c r="C61" s="8">
        <f t="shared" ref="C61:G61" si="35">C17/(C11*3)</f>
        <v>537792.5240966921</v>
      </c>
      <c r="D61" s="8" t="e">
        <f t="shared" si="35"/>
        <v>#DIV/0!</v>
      </c>
      <c r="E61" s="8">
        <f t="shared" si="35"/>
        <v>537792.5240966921</v>
      </c>
      <c r="F61" s="8">
        <f t="shared" si="35"/>
        <v>24899.019555555558</v>
      </c>
      <c r="G61" s="5" t="e">
        <f t="shared" si="35"/>
        <v>#DIV/0!</v>
      </c>
    </row>
    <row r="62" spans="1:7" x14ac:dyDescent="0.25">
      <c r="A62" s="2" t="s">
        <v>42</v>
      </c>
      <c r="B62" s="8">
        <f>(B60/B61)*B45</f>
        <v>101.00619039688043</v>
      </c>
      <c r="C62" s="8">
        <f t="shared" ref="C62:G62" si="36">(C60/C61)*C45</f>
        <v>51.590649175977852</v>
      </c>
      <c r="D62" s="8" t="e">
        <f t="shared" ref="D62:E62" si="37">(D60/D61)*D45</f>
        <v>#DIV/0!</v>
      </c>
      <c r="E62" s="8">
        <f t="shared" si="37"/>
        <v>51.590649175977852</v>
      </c>
      <c r="F62" s="8">
        <f t="shared" si="36"/>
        <v>122.88520353457034</v>
      </c>
      <c r="G62" s="1" t="e">
        <f t="shared" si="36"/>
        <v>#DIV/0!</v>
      </c>
    </row>
    <row r="63" spans="1:7" x14ac:dyDescent="0.25">
      <c r="A63" s="2" t="s">
        <v>170</v>
      </c>
      <c r="B63" s="8">
        <f>B16/B10</f>
        <v>555194.80519480514</v>
      </c>
      <c r="C63" s="8">
        <f t="shared" ref="C63:G63" si="38">C16/C10</f>
        <v>1500000</v>
      </c>
      <c r="D63" s="8" t="e">
        <f t="shared" si="38"/>
        <v>#DIV/0!</v>
      </c>
      <c r="E63" s="8">
        <f t="shared" si="38"/>
        <v>1500000</v>
      </c>
      <c r="F63" s="8">
        <f t="shared" si="38"/>
        <v>114285.71428571429</v>
      </c>
      <c r="G63" s="5" t="e">
        <f t="shared" si="38"/>
        <v>#DIV/0!</v>
      </c>
    </row>
    <row r="64" spans="1:7" x14ac:dyDescent="0.25">
      <c r="A64" s="2" t="s">
        <v>171</v>
      </c>
      <c r="B64" s="8">
        <f>B17/B11</f>
        <v>389154.38672386896</v>
      </c>
      <c r="C64" s="8">
        <f t="shared" ref="C64:G64" si="39">C17/C11</f>
        <v>1613377.5722900764</v>
      </c>
      <c r="D64" s="8" t="e">
        <f t="shared" si="39"/>
        <v>#DIV/0!</v>
      </c>
      <c r="E64" s="8">
        <f t="shared" si="39"/>
        <v>1613377.5722900764</v>
      </c>
      <c r="F64" s="8">
        <f t="shared" si="39"/>
        <v>74697.058666666664</v>
      </c>
      <c r="G64" s="5" t="e">
        <f t="shared" si="39"/>
        <v>#DIV/0!</v>
      </c>
    </row>
    <row r="65" spans="1:7" x14ac:dyDescent="0.25">
      <c r="B65" s="1"/>
      <c r="C65" s="1"/>
      <c r="D65" s="1"/>
      <c r="E65" s="1"/>
      <c r="F65" s="1"/>
      <c r="G65" s="1"/>
    </row>
    <row r="66" spans="1:7" x14ac:dyDescent="0.25">
      <c r="A66" s="2" t="s">
        <v>43</v>
      </c>
      <c r="B66" s="1"/>
      <c r="C66" s="1"/>
      <c r="D66" s="1"/>
      <c r="E66" s="1"/>
      <c r="F66" s="1"/>
      <c r="G66" s="1"/>
    </row>
    <row r="67" spans="1:7" x14ac:dyDescent="0.25">
      <c r="A67" s="2" t="s">
        <v>44</v>
      </c>
      <c r="B67" s="1">
        <f>(B23/B22)*100</f>
        <v>168.61520467836257</v>
      </c>
      <c r="C67" s="1"/>
      <c r="D67" s="1" t="e">
        <f>(D23/D22)*100</f>
        <v>#DIV/0!</v>
      </c>
      <c r="E67" s="1">
        <f>(E23/(E22+F22))*100</f>
        <v>99.141520467836258</v>
      </c>
      <c r="F67" s="1"/>
      <c r="G67" s="1"/>
    </row>
    <row r="68" spans="1:7" x14ac:dyDescent="0.25">
      <c r="A68" s="2" t="s">
        <v>45</v>
      </c>
      <c r="B68" s="1">
        <f>(B17/B23)*100</f>
        <v>34.605657629399438</v>
      </c>
      <c r="C68" s="1"/>
      <c r="D68" s="1">
        <f t="shared" ref="D68" si="40">(D17/D23)*100</f>
        <v>0</v>
      </c>
      <c r="E68" s="1">
        <f>((E17+F17)/E23)*100</f>
        <v>58.855664273411499</v>
      </c>
      <c r="F68" s="1"/>
      <c r="G68" s="1"/>
    </row>
    <row r="69" spans="1:7" x14ac:dyDescent="0.25">
      <c r="B69" s="1"/>
      <c r="C69" s="1"/>
      <c r="D69" s="1"/>
      <c r="E69" s="1"/>
      <c r="F69" s="1"/>
      <c r="G69" s="1"/>
    </row>
    <row r="70" spans="1:7" ht="15.75" thickBot="1" x14ac:dyDescent="0.3">
      <c r="A70" s="34"/>
      <c r="B70" s="34"/>
      <c r="C70" s="34"/>
      <c r="D70" s="34"/>
      <c r="E70" s="34"/>
      <c r="F70" s="34"/>
      <c r="G70" s="34"/>
    </row>
    <row r="71" spans="1:7" ht="15.75" thickTop="1" x14ac:dyDescent="0.25"/>
    <row r="72" spans="1:7" x14ac:dyDescent="0.25">
      <c r="A72" s="2" t="s">
        <v>138</v>
      </c>
    </row>
    <row r="73" spans="1:7" x14ac:dyDescent="0.25">
      <c r="A73" s="2" t="s">
        <v>134</v>
      </c>
    </row>
    <row r="74" spans="1:7" x14ac:dyDescent="0.25">
      <c r="A74" s="2" t="s">
        <v>139</v>
      </c>
    </row>
    <row r="75" spans="1:7" x14ac:dyDescent="0.25">
      <c r="A75" s="2" t="s">
        <v>157</v>
      </c>
    </row>
    <row r="77" spans="1:7" x14ac:dyDescent="0.25">
      <c r="A77" s="2" t="s">
        <v>151</v>
      </c>
    </row>
    <row r="78" spans="1:7" x14ac:dyDescent="0.25">
      <c r="A78" s="2" t="s">
        <v>152</v>
      </c>
    </row>
    <row r="79" spans="1:7" x14ac:dyDescent="0.25">
      <c r="A79" s="2" t="s">
        <v>153</v>
      </c>
    </row>
    <row r="80" spans="1:7" x14ac:dyDescent="0.25">
      <c r="A80" s="2" t="s">
        <v>154</v>
      </c>
    </row>
    <row r="81" spans="1:1" x14ac:dyDescent="0.25">
      <c r="A81" s="2" t="s">
        <v>155</v>
      </c>
    </row>
    <row r="82" spans="1:1" x14ac:dyDescent="0.25">
      <c r="A82" s="2" t="s">
        <v>165</v>
      </c>
    </row>
    <row r="83" spans="1:1" x14ac:dyDescent="0.25">
      <c r="A83" s="39" t="s">
        <v>166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82" workbookViewId="0">
      <selection activeCell="B60" sqref="B60:F64"/>
    </sheetView>
  </sheetViews>
  <sheetFormatPr baseColWidth="10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77" t="s">
        <v>160</v>
      </c>
      <c r="B1" s="77"/>
      <c r="C1" s="77"/>
      <c r="D1" s="77"/>
      <c r="E1" s="77"/>
      <c r="F1" s="77"/>
      <c r="G1" s="77"/>
    </row>
    <row r="3" spans="1:7" x14ac:dyDescent="0.25">
      <c r="A3" s="80" t="s">
        <v>0</v>
      </c>
      <c r="B3" s="75" t="s">
        <v>46</v>
      </c>
      <c r="C3" s="78" t="s">
        <v>2</v>
      </c>
      <c r="D3" s="78"/>
      <c r="E3" s="78"/>
      <c r="F3" s="78"/>
      <c r="G3" s="78"/>
    </row>
    <row r="4" spans="1:7" ht="15.75" thickBot="1" x14ac:dyDescent="0.3">
      <c r="A4" s="81"/>
      <c r="B4" s="83"/>
      <c r="C4" s="79" t="s">
        <v>3</v>
      </c>
      <c r="D4" s="79"/>
      <c r="E4" s="79"/>
      <c r="F4" s="75" t="s">
        <v>4</v>
      </c>
      <c r="G4" s="75" t="s">
        <v>5</v>
      </c>
    </row>
    <row r="5" spans="1:7" ht="16.5" thickTop="1" thickBot="1" x14ac:dyDescent="0.3">
      <c r="A5" s="82"/>
      <c r="B5" s="76"/>
      <c r="C5" s="35" t="s">
        <v>1</v>
      </c>
      <c r="D5" s="35" t="s">
        <v>135</v>
      </c>
      <c r="E5" s="35" t="s">
        <v>137</v>
      </c>
      <c r="F5" s="76"/>
      <c r="G5" s="76"/>
    </row>
    <row r="6" spans="1:7" ht="15.75" thickTop="1" x14ac:dyDescent="0.25">
      <c r="A6" s="36"/>
      <c r="B6" s="37"/>
      <c r="C6" s="38"/>
      <c r="D6" s="38"/>
      <c r="E6" s="38"/>
      <c r="F6" s="37"/>
      <c r="G6" s="37"/>
    </row>
    <row r="7" spans="1:7" x14ac:dyDescent="0.25">
      <c r="A7" s="4" t="s">
        <v>6</v>
      </c>
    </row>
    <row r="8" spans="1:7" x14ac:dyDescent="0.25">
      <c r="A8" s="2" t="s">
        <v>7</v>
      </c>
    </row>
    <row r="9" spans="1:7" x14ac:dyDescent="0.25">
      <c r="A9" s="2" t="s">
        <v>60</v>
      </c>
      <c r="B9" s="5">
        <f>C9+F9+G9</f>
        <v>567</v>
      </c>
      <c r="C9" s="5">
        <f>D9+E9</f>
        <v>282</v>
      </c>
      <c r="D9" s="5">
        <v>51</v>
      </c>
      <c r="E9" s="5">
        <v>231</v>
      </c>
      <c r="F9" s="40">
        <v>285</v>
      </c>
      <c r="G9" s="5">
        <v>0</v>
      </c>
    </row>
    <row r="10" spans="1:7" x14ac:dyDescent="0.25">
      <c r="A10" s="2" t="s">
        <v>61</v>
      </c>
      <c r="B10" s="5">
        <f t="shared" ref="B10:B12" si="0">C10+F10+G10</f>
        <v>813</v>
      </c>
      <c r="C10" s="5">
        <f t="shared" ref="C10:C12" si="1">D10+E10</f>
        <v>288</v>
      </c>
      <c r="D10" s="5">
        <v>0</v>
      </c>
      <c r="E10" s="5">
        <v>288</v>
      </c>
      <c r="F10" s="5">
        <v>525</v>
      </c>
      <c r="G10" s="5">
        <v>0</v>
      </c>
    </row>
    <row r="11" spans="1:7" x14ac:dyDescent="0.25">
      <c r="A11" s="2" t="s">
        <v>62</v>
      </c>
      <c r="B11" s="5">
        <f t="shared" si="0"/>
        <v>967</v>
      </c>
      <c r="C11" s="5">
        <f t="shared" si="1"/>
        <v>126</v>
      </c>
      <c r="D11" s="5">
        <v>0</v>
      </c>
      <c r="E11" s="5">
        <v>126</v>
      </c>
      <c r="F11" s="5">
        <v>841</v>
      </c>
      <c r="G11" s="5">
        <v>0</v>
      </c>
    </row>
    <row r="12" spans="1:7" x14ac:dyDescent="0.25">
      <c r="A12" s="2" t="s">
        <v>11</v>
      </c>
      <c r="B12" s="5">
        <f t="shared" si="0"/>
        <v>2583</v>
      </c>
      <c r="C12" s="5">
        <f t="shared" si="1"/>
        <v>833</v>
      </c>
      <c r="D12" s="5">
        <v>300</v>
      </c>
      <c r="E12" s="5">
        <v>533</v>
      </c>
      <c r="F12" s="5">
        <v>1750</v>
      </c>
      <c r="G12" s="5">
        <v>0</v>
      </c>
    </row>
    <row r="13" spans="1:7" x14ac:dyDescent="0.25">
      <c r="B13" s="1"/>
      <c r="C13" s="1"/>
      <c r="D13" s="1"/>
      <c r="E13" s="1"/>
      <c r="F13" s="1"/>
      <c r="G13" s="1"/>
    </row>
    <row r="14" spans="1:7" x14ac:dyDescent="0.25">
      <c r="A14" s="2" t="s">
        <v>12</v>
      </c>
      <c r="B14" s="1"/>
      <c r="C14" s="1"/>
      <c r="D14" s="1"/>
      <c r="E14" s="1"/>
      <c r="F14" s="1"/>
      <c r="G14" s="1"/>
    </row>
    <row r="15" spans="1:7" x14ac:dyDescent="0.25">
      <c r="A15" s="2" t="s">
        <v>63</v>
      </c>
      <c r="B15" s="5">
        <f>C15+F15+G15</f>
        <v>479876243</v>
      </c>
      <c r="C15" s="5">
        <f t="shared" ref="C15:C18" si="2">D15+E15</f>
        <v>440736243</v>
      </c>
      <c r="D15" s="5">
        <v>84500000</v>
      </c>
      <c r="E15" s="5">
        <v>356236243</v>
      </c>
      <c r="F15" s="41">
        <v>39140000</v>
      </c>
      <c r="G15" s="5">
        <v>0</v>
      </c>
    </row>
    <row r="16" spans="1:7" x14ac:dyDescent="0.25">
      <c r="A16" s="2" t="s">
        <v>61</v>
      </c>
      <c r="B16" s="5">
        <f t="shared" ref="B16:B19" si="3">C16+F16+G16</f>
        <v>492000000</v>
      </c>
      <c r="C16" s="5">
        <f t="shared" si="2"/>
        <v>432000000</v>
      </c>
      <c r="D16" s="5">
        <f>D10*1500000</f>
        <v>0</v>
      </c>
      <c r="E16" s="5">
        <f>E10*1500000</f>
        <v>432000000</v>
      </c>
      <c r="F16" s="5">
        <v>60000000</v>
      </c>
      <c r="G16" s="5">
        <v>0</v>
      </c>
    </row>
    <row r="17" spans="1:7" x14ac:dyDescent="0.25">
      <c r="A17" s="2" t="s">
        <v>62</v>
      </c>
      <c r="B17" s="5">
        <f t="shared" si="3"/>
        <v>288330768</v>
      </c>
      <c r="C17" s="5">
        <f t="shared" si="2"/>
        <v>225533000</v>
      </c>
      <c r="D17" s="5">
        <v>0</v>
      </c>
      <c r="E17" s="5">
        <v>225533000</v>
      </c>
      <c r="F17" s="5">
        <v>62797768</v>
      </c>
      <c r="G17" s="5">
        <v>0</v>
      </c>
    </row>
    <row r="18" spans="1:7" x14ac:dyDescent="0.25">
      <c r="A18" s="2" t="s">
        <v>11</v>
      </c>
      <c r="B18" s="5">
        <f t="shared" si="3"/>
        <v>1449500000</v>
      </c>
      <c r="C18" s="5">
        <f t="shared" si="2"/>
        <v>1249500000</v>
      </c>
      <c r="D18" s="5">
        <v>450000000</v>
      </c>
      <c r="E18" s="5">
        <v>799500000</v>
      </c>
      <c r="F18" s="11">
        <v>200000000</v>
      </c>
      <c r="G18" s="5">
        <v>0</v>
      </c>
    </row>
    <row r="19" spans="1:7" x14ac:dyDescent="0.25">
      <c r="A19" s="2" t="s">
        <v>64</v>
      </c>
      <c r="B19" s="5">
        <f t="shared" si="3"/>
        <v>225533000</v>
      </c>
      <c r="C19" s="5">
        <f>C17</f>
        <v>225533000</v>
      </c>
      <c r="D19" s="5">
        <f t="shared" ref="D19:E19" si="4">D17</f>
        <v>0</v>
      </c>
      <c r="E19" s="5">
        <f t="shared" si="4"/>
        <v>225533000</v>
      </c>
      <c r="F19" s="5"/>
      <c r="G19" s="5"/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14</v>
      </c>
      <c r="B21" s="1"/>
      <c r="C21" s="1"/>
      <c r="D21" s="1"/>
      <c r="E21" s="1"/>
      <c r="F21" s="1"/>
      <c r="G21" s="1"/>
    </row>
    <row r="22" spans="1:7" x14ac:dyDescent="0.25">
      <c r="A22" s="2" t="s">
        <v>61</v>
      </c>
      <c r="B22" s="5">
        <f t="shared" ref="B22" si="5">C22+F22+G22</f>
        <v>492000000</v>
      </c>
      <c r="C22" s="5">
        <f>D22+E22</f>
        <v>432000000</v>
      </c>
      <c r="D22" s="5">
        <f t="shared" ref="D22:G22" si="6">D16</f>
        <v>0</v>
      </c>
      <c r="E22" s="5">
        <f t="shared" si="6"/>
        <v>432000000</v>
      </c>
      <c r="F22" s="5">
        <f t="shared" si="6"/>
        <v>60000000</v>
      </c>
      <c r="G22" s="5">
        <f t="shared" si="6"/>
        <v>0</v>
      </c>
    </row>
    <row r="23" spans="1:7" x14ac:dyDescent="0.25">
      <c r="A23" s="2" t="s">
        <v>62</v>
      </c>
      <c r="B23" s="5">
        <v>900000000</v>
      </c>
      <c r="C23" s="5"/>
      <c r="D23" s="5">
        <v>408000000</v>
      </c>
      <c r="E23" s="5">
        <v>492000000</v>
      </c>
      <c r="F23" s="5"/>
      <c r="G23" s="5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15</v>
      </c>
      <c r="B25" s="1"/>
      <c r="C25" s="1"/>
      <c r="D25" s="1"/>
      <c r="E25" s="1"/>
      <c r="F25" s="1"/>
      <c r="G25" s="1"/>
    </row>
    <row r="26" spans="1:7" x14ac:dyDescent="0.25">
      <c r="A26" s="2" t="s">
        <v>65</v>
      </c>
      <c r="B26" s="1">
        <v>1.4042433660666667</v>
      </c>
      <c r="C26" s="1">
        <v>1.4042433660666667</v>
      </c>
      <c r="D26" s="1">
        <v>1.4042433660666667</v>
      </c>
      <c r="E26" s="1">
        <v>1.4042433660666667</v>
      </c>
      <c r="F26" s="1">
        <v>1.4042433660666667</v>
      </c>
      <c r="G26" s="1">
        <v>1.4042433660666667</v>
      </c>
    </row>
    <row r="27" spans="1:7" x14ac:dyDescent="0.25">
      <c r="A27" s="2" t="s">
        <v>66</v>
      </c>
      <c r="B27" s="1">
        <v>1.4773597119666666</v>
      </c>
      <c r="C27" s="1">
        <v>1.4773597119666666</v>
      </c>
      <c r="D27" s="1">
        <v>1.4773597119666666</v>
      </c>
      <c r="E27" s="1">
        <v>1.4773597119666666</v>
      </c>
      <c r="F27" s="1">
        <v>1.4773597119666666</v>
      </c>
      <c r="G27" s="1">
        <v>1.4773597119666666</v>
      </c>
    </row>
    <row r="28" spans="1:7" x14ac:dyDescent="0.25">
      <c r="A28" s="2" t="s">
        <v>18</v>
      </c>
      <c r="B28" s="5">
        <v>87955</v>
      </c>
      <c r="C28" s="5">
        <v>87955</v>
      </c>
      <c r="D28" s="5">
        <v>87955</v>
      </c>
      <c r="E28" s="5">
        <v>87955</v>
      </c>
      <c r="F28" s="5">
        <v>87955</v>
      </c>
      <c r="G28" s="5">
        <v>87955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19</v>
      </c>
      <c r="B30" s="1"/>
      <c r="C30" s="1"/>
      <c r="D30" s="1"/>
      <c r="E30" s="1"/>
      <c r="F30" s="1"/>
      <c r="G30" s="1"/>
    </row>
    <row r="31" spans="1:7" x14ac:dyDescent="0.25">
      <c r="A31" s="2" t="s">
        <v>67</v>
      </c>
      <c r="B31" s="5">
        <f>B15/B26</f>
        <v>341732960.67913759</v>
      </c>
      <c r="C31" s="5">
        <f t="shared" ref="C31:G31" si="7">C15/C26</f>
        <v>313860299.18340808</v>
      </c>
      <c r="D31" s="5">
        <f t="shared" ref="D31:E31" si="8">D15/D26</f>
        <v>60174754.634367526</v>
      </c>
      <c r="E31" s="5">
        <f t="shared" si="8"/>
        <v>253685544.54904053</v>
      </c>
      <c r="F31" s="5">
        <f t="shared" si="7"/>
        <v>27872661.495729525</v>
      </c>
      <c r="G31" s="5">
        <f t="shared" si="7"/>
        <v>0</v>
      </c>
    </row>
    <row r="32" spans="1:7" x14ac:dyDescent="0.25">
      <c r="A32" s="2" t="s">
        <v>68</v>
      </c>
      <c r="B32" s="5">
        <f>B17/B27</f>
        <v>195166258.87690753</v>
      </c>
      <c r="C32" s="5">
        <f t="shared" ref="C32:G32" si="9">C17/C27</f>
        <v>152659503.41895384</v>
      </c>
      <c r="D32" s="5">
        <f t="shared" ref="D32:E32" si="10">D17/D27</f>
        <v>0</v>
      </c>
      <c r="E32" s="5">
        <f t="shared" si="10"/>
        <v>152659503.41895384</v>
      </c>
      <c r="F32" s="5">
        <f t="shared" si="9"/>
        <v>42506755.457953691</v>
      </c>
      <c r="G32" s="5">
        <f t="shared" si="9"/>
        <v>0</v>
      </c>
    </row>
    <row r="33" spans="1:7" x14ac:dyDescent="0.25">
      <c r="A33" s="2" t="s">
        <v>69</v>
      </c>
      <c r="B33" s="5">
        <f>B31/B9</f>
        <v>602703.63435474003</v>
      </c>
      <c r="C33" s="5">
        <f t="shared" ref="C33:G33" si="11">C31/C9</f>
        <v>1112979.7843383264</v>
      </c>
      <c r="D33" s="5">
        <f t="shared" ref="D33:E33" si="12">D31/D9</f>
        <v>1179897.1496934809</v>
      </c>
      <c r="E33" s="5">
        <f t="shared" si="12"/>
        <v>1098205.8205586169</v>
      </c>
      <c r="F33" s="5">
        <f>F31/F9</f>
        <v>97798.812265717628</v>
      </c>
      <c r="G33" s="5" t="e">
        <f t="shared" si="11"/>
        <v>#DIV/0!</v>
      </c>
    </row>
    <row r="34" spans="1:7" x14ac:dyDescent="0.25">
      <c r="A34" s="2" t="s">
        <v>70</v>
      </c>
      <c r="B34" s="5">
        <f>B32/B11</f>
        <v>201826.53451593334</v>
      </c>
      <c r="C34" s="5">
        <f t="shared" ref="C34:G34" si="13">C32/C11</f>
        <v>1211583.3604678875</v>
      </c>
      <c r="D34" s="5" t="e">
        <f t="shared" ref="D34:E34" si="14">D32/D11</f>
        <v>#DIV/0!</v>
      </c>
      <c r="E34" s="5">
        <f t="shared" si="14"/>
        <v>1211583.3604678875</v>
      </c>
      <c r="F34" s="5">
        <f t="shared" si="13"/>
        <v>50543.109938113783</v>
      </c>
      <c r="G34" s="5" t="e">
        <f t="shared" si="13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24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25</v>
      </c>
      <c r="B38" s="1"/>
      <c r="C38" s="1"/>
      <c r="D38" s="1"/>
      <c r="E38" s="1"/>
      <c r="F38" s="1"/>
      <c r="G38" s="1"/>
    </row>
    <row r="39" spans="1:7" x14ac:dyDescent="0.25">
      <c r="A39" s="2" t="s">
        <v>26</v>
      </c>
      <c r="B39" s="1">
        <f>B10/B28*100</f>
        <v>0.92433630833949187</v>
      </c>
      <c r="C39" s="1">
        <f>C10/C28*100</f>
        <v>0.32744016826786426</v>
      </c>
      <c r="D39" s="1">
        <f t="shared" ref="D39:E39" si="15">D10/D28*100</f>
        <v>0</v>
      </c>
      <c r="E39" s="1">
        <f t="shared" si="15"/>
        <v>0.32744016826786426</v>
      </c>
      <c r="F39" s="1">
        <f>F10/F28*100</f>
        <v>0.5968961400716275</v>
      </c>
      <c r="G39" s="1">
        <f>G10/G28*100</f>
        <v>0</v>
      </c>
    </row>
    <row r="40" spans="1:7" x14ac:dyDescent="0.25">
      <c r="A40" s="2" t="s">
        <v>27</v>
      </c>
      <c r="B40" s="1">
        <f>B11/B28*100</f>
        <v>1.0994258427605026</v>
      </c>
      <c r="C40" s="1">
        <f>C11/C28*100</f>
        <v>0.14325507361719061</v>
      </c>
      <c r="D40" s="1">
        <f t="shared" ref="D40:E40" si="16">D11/D28*100</f>
        <v>0</v>
      </c>
      <c r="E40" s="1">
        <f t="shared" si="16"/>
        <v>0.14325507361719061</v>
      </c>
      <c r="F40" s="1">
        <f>F11/F28*100</f>
        <v>0.956170769143312</v>
      </c>
      <c r="G40" s="1">
        <f>G11/G28*100</f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28</v>
      </c>
      <c r="B42" s="1"/>
      <c r="C42" s="1"/>
      <c r="D42" s="1"/>
      <c r="E42" s="1"/>
      <c r="F42" s="1"/>
      <c r="G42" s="1"/>
    </row>
    <row r="43" spans="1:7" x14ac:dyDescent="0.25">
      <c r="A43" s="2" t="s">
        <v>29</v>
      </c>
      <c r="B43" s="1">
        <f>B11/B10*100</f>
        <v>118.94218942189423</v>
      </c>
      <c r="C43" s="1">
        <f t="shared" ref="C43:G43" si="17">C11/C10*100</f>
        <v>43.75</v>
      </c>
      <c r="D43" s="1" t="e">
        <f t="shared" ref="D43:E43" si="18">D11/D10*100</f>
        <v>#DIV/0!</v>
      </c>
      <c r="E43" s="1">
        <f t="shared" si="18"/>
        <v>43.75</v>
      </c>
      <c r="F43" s="1">
        <f t="shared" si="17"/>
        <v>160.1904761904762</v>
      </c>
      <c r="G43" s="1" t="e">
        <f t="shared" si="17"/>
        <v>#DIV/0!</v>
      </c>
    </row>
    <row r="44" spans="1:7" x14ac:dyDescent="0.25">
      <c r="A44" s="2" t="s">
        <v>30</v>
      </c>
      <c r="B44" s="1">
        <f>B17/B16*100</f>
        <v>58.603814634146346</v>
      </c>
      <c r="C44" s="1">
        <f t="shared" ref="C44:G44" si="19">C17/C16*100</f>
        <v>52.206712962962968</v>
      </c>
      <c r="D44" s="1" t="e">
        <f t="shared" ref="D44:E44" si="20">D17/D16*100</f>
        <v>#DIV/0!</v>
      </c>
      <c r="E44" s="1">
        <f t="shared" si="20"/>
        <v>52.206712962962968</v>
      </c>
      <c r="F44" s="1">
        <f t="shared" si="19"/>
        <v>104.66294666666667</v>
      </c>
      <c r="G44" s="1" t="e">
        <f t="shared" si="19"/>
        <v>#DIV/0!</v>
      </c>
    </row>
    <row r="45" spans="1:7" x14ac:dyDescent="0.25">
      <c r="A45" s="2" t="s">
        <v>31</v>
      </c>
      <c r="B45" s="1">
        <f>AVERAGE(B43:B44)</f>
        <v>88.773002028020287</v>
      </c>
      <c r="C45" s="1">
        <f t="shared" ref="C45:G45" si="21">AVERAGE(C43:C44)</f>
        <v>47.978356481481484</v>
      </c>
      <c r="D45" s="1" t="e">
        <f t="shared" ref="D45:E45" si="22">AVERAGE(D43:D44)</f>
        <v>#DIV/0!</v>
      </c>
      <c r="E45" s="1">
        <f t="shared" si="22"/>
        <v>47.978356481481484</v>
      </c>
      <c r="F45" s="1">
        <f t="shared" si="21"/>
        <v>132.42671142857142</v>
      </c>
      <c r="G45" s="1" t="e">
        <f t="shared" si="21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32</v>
      </c>
      <c r="B47" s="1"/>
      <c r="C47" s="1"/>
      <c r="D47" s="1"/>
      <c r="E47" s="1"/>
      <c r="F47" s="1"/>
      <c r="G47" s="1"/>
    </row>
    <row r="48" spans="1:7" x14ac:dyDescent="0.25">
      <c r="A48" s="2" t="s">
        <v>33</v>
      </c>
      <c r="B48" s="1">
        <f>B11/B12*100</f>
        <v>37.437088656600856</v>
      </c>
      <c r="C48" s="1">
        <f t="shared" ref="C48:G48" si="23">C11/C12*100</f>
        <v>15.126050420168067</v>
      </c>
      <c r="D48" s="1">
        <f t="shared" ref="D48:E48" si="24">D11/D12*100</f>
        <v>0</v>
      </c>
      <c r="E48" s="1">
        <f t="shared" si="24"/>
        <v>23.639774859287055</v>
      </c>
      <c r="F48" s="1">
        <f t="shared" si="23"/>
        <v>48.057142857142857</v>
      </c>
      <c r="G48" s="1" t="e">
        <f t="shared" si="23"/>
        <v>#DIV/0!</v>
      </c>
    </row>
    <row r="49" spans="1:7" x14ac:dyDescent="0.25">
      <c r="A49" s="2" t="s">
        <v>34</v>
      </c>
      <c r="B49" s="1">
        <f>B17/B18*100</f>
        <v>19.891739772335288</v>
      </c>
      <c r="C49" s="1">
        <f t="shared" ref="C49:G49" si="25">C17/C18*100</f>
        <v>18.049859943977591</v>
      </c>
      <c r="D49" s="1">
        <f t="shared" ref="D49:E49" si="26">D17/D18*100</f>
        <v>0</v>
      </c>
      <c r="E49" s="1">
        <f t="shared" si="26"/>
        <v>28.20925578486554</v>
      </c>
      <c r="F49" s="1">
        <f t="shared" si="25"/>
        <v>31.398883999999999</v>
      </c>
      <c r="G49" s="1" t="e">
        <f t="shared" si="25"/>
        <v>#DIV/0!</v>
      </c>
    </row>
    <row r="50" spans="1:7" x14ac:dyDescent="0.25">
      <c r="A50" s="2" t="s">
        <v>35</v>
      </c>
      <c r="B50" s="1">
        <f>AVERAGE(B48:B49)</f>
        <v>28.664414214468074</v>
      </c>
      <c r="C50" s="1">
        <f t="shared" ref="C50:G50" si="27">AVERAGE(C48:C49)</f>
        <v>16.587955182072829</v>
      </c>
      <c r="D50" s="1">
        <f t="shared" ref="D50:E50" si="28">AVERAGE(D48:D49)</f>
        <v>0</v>
      </c>
      <c r="E50" s="1">
        <f t="shared" si="28"/>
        <v>25.924515322076296</v>
      </c>
      <c r="F50" s="1">
        <f t="shared" si="27"/>
        <v>39.72801342857143</v>
      </c>
      <c r="G50" s="1" t="e">
        <f t="shared" si="27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36</v>
      </c>
      <c r="B52" s="1"/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37</v>
      </c>
      <c r="B54" s="1"/>
      <c r="C54" s="1"/>
      <c r="D54" s="1"/>
      <c r="E54" s="1"/>
      <c r="F54" s="1"/>
      <c r="G54" s="1"/>
    </row>
    <row r="55" spans="1:7" x14ac:dyDescent="0.25">
      <c r="A55" s="2" t="s">
        <v>38</v>
      </c>
      <c r="B55" s="1">
        <f>((B11/B9)-1)*100</f>
        <v>70.546737213403873</v>
      </c>
      <c r="C55" s="1">
        <f t="shared" ref="C55:E55" si="29">((C11/C9)-1)*100</f>
        <v>-55.319148936170215</v>
      </c>
      <c r="D55" s="1">
        <f t="shared" si="29"/>
        <v>-100</v>
      </c>
      <c r="E55" s="1">
        <f t="shared" si="29"/>
        <v>-45.45454545454546</v>
      </c>
      <c r="F55" s="1">
        <f>((F11/F9)-1)*100</f>
        <v>195.08771929824559</v>
      </c>
      <c r="G55" s="1" t="e">
        <f>((G11/G9)-1)*100</f>
        <v>#DIV/0!</v>
      </c>
    </row>
    <row r="56" spans="1:7" x14ac:dyDescent="0.25">
      <c r="A56" s="2" t="s">
        <v>39</v>
      </c>
      <c r="B56" s="1">
        <f>((B32/B31)-1)*100</f>
        <v>-42.889249404257946</v>
      </c>
      <c r="C56" s="1">
        <f t="shared" ref="C56:G56" si="30">((C32/C31)-1)*100</f>
        <v>-51.360683776782679</v>
      </c>
      <c r="D56" s="1">
        <f t="shared" ref="D56:E56" si="31">((D32/D31)-1)*100</f>
        <v>-100</v>
      </c>
      <c r="E56" s="1">
        <f t="shared" si="31"/>
        <v>-39.823333769243249</v>
      </c>
      <c r="F56" s="1">
        <f>((F32/F31)-1)*100</f>
        <v>52.503396435486827</v>
      </c>
      <c r="G56" s="1" t="e">
        <f t="shared" si="30"/>
        <v>#DIV/0!</v>
      </c>
    </row>
    <row r="57" spans="1:7" x14ac:dyDescent="0.25">
      <c r="A57" s="2" t="s">
        <v>40</v>
      </c>
      <c r="B57" s="1">
        <f>((B34/B33)-1)*100</f>
        <v>-66.513137965061276</v>
      </c>
      <c r="C57" s="1">
        <f t="shared" ref="C57:G57" si="32">((C34/C33)-1)*100</f>
        <v>8.8594220233911614</v>
      </c>
      <c r="D57" s="1" t="e">
        <f t="shared" ref="D57:E57" si="33">((D34/D33)-1)*100</f>
        <v>#DIV/0!</v>
      </c>
      <c r="E57" s="1">
        <f t="shared" si="33"/>
        <v>10.323888089720711</v>
      </c>
      <c r="F57" s="1">
        <f>((F34/F33)-1)*100</f>
        <v>-48.319300851232164</v>
      </c>
      <c r="G57" s="1" t="e">
        <f t="shared" si="32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41</v>
      </c>
      <c r="B59" s="1"/>
      <c r="C59" s="1"/>
      <c r="D59" s="1"/>
      <c r="E59" s="1"/>
      <c r="F59" s="1"/>
      <c r="G59" s="1"/>
    </row>
    <row r="60" spans="1:7" x14ac:dyDescent="0.25">
      <c r="A60" s="2" t="s">
        <v>168</v>
      </c>
      <c r="B60" s="8">
        <f>B16/(B10*3)</f>
        <v>201722.01722017222</v>
      </c>
      <c r="C60" s="8">
        <f t="shared" ref="C60:G60" si="34">C16/(C10*3)</f>
        <v>500000</v>
      </c>
      <c r="D60" s="8" t="e">
        <f t="shared" si="34"/>
        <v>#DIV/0!</v>
      </c>
      <c r="E60" s="8">
        <f t="shared" si="34"/>
        <v>500000</v>
      </c>
      <c r="F60" s="8">
        <f t="shared" si="34"/>
        <v>38095.238095238092</v>
      </c>
      <c r="G60" s="5" t="e">
        <f t="shared" si="34"/>
        <v>#DIV/0!</v>
      </c>
    </row>
    <row r="61" spans="1:7" x14ac:dyDescent="0.25">
      <c r="A61" s="2" t="s">
        <v>169</v>
      </c>
      <c r="B61" s="8">
        <f>B17/(B11*3)</f>
        <v>99390.130299896584</v>
      </c>
      <c r="C61" s="8">
        <f t="shared" ref="C61:G61" si="35">C17/(C11*3)</f>
        <v>596648.1481481482</v>
      </c>
      <c r="D61" s="8" t="e">
        <f t="shared" si="35"/>
        <v>#DIV/0!</v>
      </c>
      <c r="E61" s="8">
        <f t="shared" si="35"/>
        <v>596648.1481481482</v>
      </c>
      <c r="F61" s="8">
        <f t="shared" si="35"/>
        <v>24890.118113357115</v>
      </c>
      <c r="G61" s="5" t="e">
        <f t="shared" si="35"/>
        <v>#DIV/0!</v>
      </c>
    </row>
    <row r="62" spans="1:7" x14ac:dyDescent="0.25">
      <c r="A62" s="2" t="s">
        <v>42</v>
      </c>
      <c r="B62" s="8">
        <f>(B60/B61)*B45</f>
        <v>180.17351410798307</v>
      </c>
      <c r="C62" s="8">
        <f t="shared" ref="C62:G62" si="36">(C60/C61)*C45</f>
        <v>40.206574536764016</v>
      </c>
      <c r="D62" s="8" t="e">
        <f t="shared" ref="D62:E62" si="37">(D60/D61)*D45</f>
        <v>#DIV/0!</v>
      </c>
      <c r="E62" s="8">
        <f t="shared" si="37"/>
        <v>40.206574536764016</v>
      </c>
      <c r="F62" s="8">
        <f t="shared" si="36"/>
        <v>202.68393581200175</v>
      </c>
      <c r="G62" s="1" t="e">
        <f t="shared" si="36"/>
        <v>#DIV/0!</v>
      </c>
    </row>
    <row r="63" spans="1:7" x14ac:dyDescent="0.25">
      <c r="A63" s="2" t="s">
        <v>170</v>
      </c>
      <c r="B63" s="8">
        <f>B16/B10</f>
        <v>605166.05166051665</v>
      </c>
      <c r="C63" s="8">
        <f t="shared" ref="C63:G63" si="38">C16/C10</f>
        <v>1500000</v>
      </c>
      <c r="D63" s="8" t="e">
        <f t="shared" si="38"/>
        <v>#DIV/0!</v>
      </c>
      <c r="E63" s="8">
        <f t="shared" si="38"/>
        <v>1500000</v>
      </c>
      <c r="F63" s="8">
        <f t="shared" si="38"/>
        <v>114285.71428571429</v>
      </c>
      <c r="G63" s="5" t="e">
        <f t="shared" si="38"/>
        <v>#DIV/0!</v>
      </c>
    </row>
    <row r="64" spans="1:7" x14ac:dyDescent="0.25">
      <c r="A64" s="2" t="s">
        <v>171</v>
      </c>
      <c r="B64" s="8">
        <f>B17/B11</f>
        <v>298170.39089968975</v>
      </c>
      <c r="C64" s="8">
        <f t="shared" ref="C64:G64" si="39">C17/C11</f>
        <v>1789944.4444444445</v>
      </c>
      <c r="D64" s="8" t="e">
        <f t="shared" si="39"/>
        <v>#DIV/0!</v>
      </c>
      <c r="E64" s="8">
        <f t="shared" si="39"/>
        <v>1789944.4444444445</v>
      </c>
      <c r="F64" s="8">
        <f t="shared" si="39"/>
        <v>74670.354340071339</v>
      </c>
      <c r="G64" s="5" t="e">
        <f t="shared" si="39"/>
        <v>#DIV/0!</v>
      </c>
    </row>
    <row r="65" spans="1:7" x14ac:dyDescent="0.25">
      <c r="B65" s="1"/>
      <c r="C65" s="1"/>
      <c r="D65" s="1"/>
      <c r="E65" s="1"/>
      <c r="F65" s="1"/>
      <c r="G65" s="1"/>
    </row>
    <row r="66" spans="1:7" x14ac:dyDescent="0.25">
      <c r="A66" s="2" t="s">
        <v>43</v>
      </c>
      <c r="B66" s="1"/>
      <c r="C66" s="1"/>
      <c r="D66" s="1"/>
      <c r="E66" s="1"/>
      <c r="F66" s="1"/>
      <c r="G66" s="1"/>
    </row>
    <row r="67" spans="1:7" x14ac:dyDescent="0.25">
      <c r="A67" s="2" t="s">
        <v>44</v>
      </c>
      <c r="B67" s="1">
        <f>(B23/B22)*100</f>
        <v>182.92682926829269</v>
      </c>
      <c r="C67" s="1"/>
      <c r="D67" s="1" t="e">
        <f>(D23/D22)*100</f>
        <v>#DIV/0!</v>
      </c>
      <c r="E67" s="1">
        <f>(E23/(E22+F22))*100</f>
        <v>100</v>
      </c>
      <c r="F67" s="1"/>
      <c r="G67" s="1"/>
    </row>
    <row r="68" spans="1:7" x14ac:dyDescent="0.25">
      <c r="A68" s="2" t="s">
        <v>45</v>
      </c>
      <c r="B68" s="1">
        <f>(B17/B23)*100</f>
        <v>32.036752</v>
      </c>
      <c r="C68" s="1"/>
      <c r="D68" s="1">
        <f t="shared" ref="D68" si="40">(D17/D23)*100</f>
        <v>0</v>
      </c>
      <c r="E68" s="1">
        <f>((E17+F17)/E23)*100</f>
        <v>58.603814634146346</v>
      </c>
      <c r="F68" s="1"/>
      <c r="G68" s="1"/>
    </row>
    <row r="69" spans="1:7" x14ac:dyDescent="0.25">
      <c r="B69" s="1"/>
      <c r="C69" s="1"/>
      <c r="D69" s="1"/>
      <c r="E69" s="1"/>
      <c r="F69" s="1"/>
      <c r="G69" s="1"/>
    </row>
    <row r="70" spans="1:7" ht="15.75" thickBot="1" x14ac:dyDescent="0.3">
      <c r="A70" s="34"/>
      <c r="B70" s="34"/>
      <c r="C70" s="34"/>
      <c r="D70" s="34"/>
      <c r="E70" s="34"/>
      <c r="F70" s="34"/>
      <c r="G70" s="34"/>
    </row>
    <row r="71" spans="1:7" ht="15.75" thickTop="1" x14ac:dyDescent="0.25"/>
    <row r="72" spans="1:7" x14ac:dyDescent="0.25">
      <c r="A72" s="2" t="s">
        <v>138</v>
      </c>
    </row>
    <row r="73" spans="1:7" x14ac:dyDescent="0.25">
      <c r="A73" s="2" t="s">
        <v>134</v>
      </c>
    </row>
    <row r="74" spans="1:7" x14ac:dyDescent="0.25">
      <c r="A74" s="2" t="s">
        <v>139</v>
      </c>
    </row>
    <row r="75" spans="1:7" x14ac:dyDescent="0.25">
      <c r="A75" s="2" t="s">
        <v>157</v>
      </c>
    </row>
    <row r="77" spans="1:7" x14ac:dyDescent="0.25">
      <c r="A77" s="2" t="s">
        <v>151</v>
      </c>
    </row>
    <row r="78" spans="1:7" x14ac:dyDescent="0.25">
      <c r="A78" s="2" t="s">
        <v>152</v>
      </c>
    </row>
    <row r="79" spans="1:7" x14ac:dyDescent="0.25">
      <c r="A79" s="2" t="s">
        <v>153</v>
      </c>
    </row>
    <row r="80" spans="1:7" x14ac:dyDescent="0.25">
      <c r="A80" s="2" t="s">
        <v>154</v>
      </c>
    </row>
    <row r="81" spans="1:1" x14ac:dyDescent="0.25">
      <c r="A81" s="2" t="s">
        <v>155</v>
      </c>
    </row>
    <row r="82" spans="1:1" x14ac:dyDescent="0.25">
      <c r="A82" s="2" t="s">
        <v>165</v>
      </c>
    </row>
    <row r="83" spans="1:1" x14ac:dyDescent="0.25">
      <c r="A83" s="39" t="s">
        <v>166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79" workbookViewId="0">
      <selection activeCell="I60" sqref="I60"/>
    </sheetView>
  </sheetViews>
  <sheetFormatPr baseColWidth="10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77" t="s">
        <v>161</v>
      </c>
      <c r="B1" s="77"/>
      <c r="C1" s="77"/>
      <c r="D1" s="77"/>
      <c r="E1" s="77"/>
      <c r="F1" s="77"/>
      <c r="G1" s="77"/>
    </row>
    <row r="3" spans="1:7" x14ac:dyDescent="0.25">
      <c r="A3" s="80" t="s">
        <v>0</v>
      </c>
      <c r="B3" s="75" t="s">
        <v>46</v>
      </c>
      <c r="C3" s="78" t="s">
        <v>2</v>
      </c>
      <c r="D3" s="78"/>
      <c r="E3" s="78"/>
      <c r="F3" s="78"/>
      <c r="G3" s="78"/>
    </row>
    <row r="4" spans="1:7" ht="15.75" thickBot="1" x14ac:dyDescent="0.3">
      <c r="A4" s="81"/>
      <c r="B4" s="83"/>
      <c r="C4" s="79" t="s">
        <v>3</v>
      </c>
      <c r="D4" s="79"/>
      <c r="E4" s="79"/>
      <c r="F4" s="75" t="s">
        <v>4</v>
      </c>
      <c r="G4" s="75" t="s">
        <v>5</v>
      </c>
    </row>
    <row r="5" spans="1:7" ht="16.5" thickTop="1" thickBot="1" x14ac:dyDescent="0.3">
      <c r="A5" s="82"/>
      <c r="B5" s="76"/>
      <c r="C5" s="35" t="s">
        <v>1</v>
      </c>
      <c r="D5" s="35" t="s">
        <v>135</v>
      </c>
      <c r="E5" s="35" t="s">
        <v>137</v>
      </c>
      <c r="F5" s="76"/>
      <c r="G5" s="76"/>
    </row>
    <row r="6" spans="1:7" ht="15.75" thickTop="1" x14ac:dyDescent="0.25">
      <c r="A6" s="36"/>
      <c r="B6" s="37"/>
      <c r="C6" s="38"/>
      <c r="D6" s="38"/>
      <c r="E6" s="38"/>
      <c r="F6" s="37"/>
      <c r="G6" s="37"/>
    </row>
    <row r="7" spans="1:7" x14ac:dyDescent="0.25">
      <c r="A7" s="4" t="s">
        <v>6</v>
      </c>
    </row>
    <row r="8" spans="1:7" x14ac:dyDescent="0.25">
      <c r="A8" s="2" t="s">
        <v>7</v>
      </c>
    </row>
    <row r="9" spans="1:7" x14ac:dyDescent="0.25">
      <c r="A9" s="2" t="s">
        <v>71</v>
      </c>
      <c r="B9" s="5">
        <f>C9+F9+G9</f>
        <v>1129</v>
      </c>
      <c r="C9" s="5">
        <f>D9+E9</f>
        <v>258</v>
      </c>
      <c r="D9" s="5">
        <v>175</v>
      </c>
      <c r="E9" s="5">
        <v>83</v>
      </c>
      <c r="F9" s="40">
        <v>871</v>
      </c>
      <c r="G9" s="5">
        <v>0</v>
      </c>
    </row>
    <row r="10" spans="1:7" x14ac:dyDescent="0.25">
      <c r="A10" s="2" t="s">
        <v>72</v>
      </c>
      <c r="B10" s="5">
        <f t="shared" ref="B10:B12" si="0">C10+F10+G10</f>
        <v>541</v>
      </c>
      <c r="C10" s="5">
        <f t="shared" ref="C10:C12" si="1">D10+E10</f>
        <v>191</v>
      </c>
      <c r="D10" s="5">
        <v>191</v>
      </c>
      <c r="E10" s="5">
        <v>0</v>
      </c>
      <c r="F10" s="5">
        <v>350</v>
      </c>
      <c r="G10" s="5">
        <v>0</v>
      </c>
    </row>
    <row r="11" spans="1:7" x14ac:dyDescent="0.25">
      <c r="A11" s="2" t="s">
        <v>73</v>
      </c>
      <c r="B11" s="5">
        <f t="shared" si="0"/>
        <v>514</v>
      </c>
      <c r="C11" s="5">
        <f t="shared" si="1"/>
        <v>350</v>
      </c>
      <c r="D11" s="5">
        <v>170</v>
      </c>
      <c r="E11" s="5">
        <v>180</v>
      </c>
      <c r="F11" s="5">
        <v>164</v>
      </c>
      <c r="G11" s="5">
        <v>0</v>
      </c>
    </row>
    <row r="12" spans="1:7" x14ac:dyDescent="0.25">
      <c r="A12" s="2" t="s">
        <v>11</v>
      </c>
      <c r="B12" s="5">
        <f t="shared" si="0"/>
        <v>2583</v>
      </c>
      <c r="C12" s="5">
        <f t="shared" si="1"/>
        <v>833</v>
      </c>
      <c r="D12" s="5">
        <v>300</v>
      </c>
      <c r="E12" s="5">
        <v>533</v>
      </c>
      <c r="F12" s="5">
        <v>1750</v>
      </c>
      <c r="G12" s="5">
        <v>0</v>
      </c>
    </row>
    <row r="13" spans="1:7" x14ac:dyDescent="0.25">
      <c r="B13" s="1"/>
      <c r="C13" s="1"/>
      <c r="D13" s="1"/>
      <c r="E13" s="1"/>
      <c r="F13" s="1"/>
      <c r="G13" s="1"/>
    </row>
    <row r="14" spans="1:7" x14ac:dyDescent="0.25">
      <c r="A14" s="2" t="s">
        <v>12</v>
      </c>
      <c r="B14" s="1"/>
      <c r="C14" s="1"/>
      <c r="D14" s="1"/>
      <c r="E14" s="1"/>
      <c r="F14" s="1"/>
      <c r="G14" s="1"/>
    </row>
    <row r="15" spans="1:7" x14ac:dyDescent="0.25">
      <c r="A15" s="2" t="s">
        <v>74</v>
      </c>
      <c r="B15" s="5">
        <f>C15+F15+G15</f>
        <v>463211485.37</v>
      </c>
      <c r="C15" s="5">
        <f t="shared" ref="C15:C18" si="2">D15+E15</f>
        <v>430511485.37</v>
      </c>
      <c r="D15" s="5">
        <v>340692714</v>
      </c>
      <c r="E15" s="5">
        <v>89818771.370000005</v>
      </c>
      <c r="F15" s="41">
        <f>5750000+9750000+17200000</f>
        <v>32700000</v>
      </c>
      <c r="G15" s="5">
        <v>0</v>
      </c>
    </row>
    <row r="16" spans="1:7" x14ac:dyDescent="0.25">
      <c r="A16" s="2" t="s">
        <v>72</v>
      </c>
      <c r="B16" s="5">
        <f t="shared" ref="B16:B19" si="3">C16+F16+G16</f>
        <v>326500000</v>
      </c>
      <c r="C16" s="5">
        <f t="shared" si="2"/>
        <v>286500000</v>
      </c>
      <c r="D16" s="5">
        <f>D10*1500000</f>
        <v>286500000</v>
      </c>
      <c r="E16" s="5">
        <f>E10*1500000</f>
        <v>0</v>
      </c>
      <c r="F16" s="5">
        <v>40000000</v>
      </c>
      <c r="G16" s="5">
        <v>0</v>
      </c>
    </row>
    <row r="17" spans="1:7" x14ac:dyDescent="0.25">
      <c r="A17" s="2" t="s">
        <v>73</v>
      </c>
      <c r="B17" s="5">
        <f t="shared" si="3"/>
        <v>926833152</v>
      </c>
      <c r="C17" s="5">
        <f t="shared" si="2"/>
        <v>848195750</v>
      </c>
      <c r="D17" s="5">
        <v>485573000</v>
      </c>
      <c r="E17" s="5">
        <v>362622750</v>
      </c>
      <c r="F17" s="5">
        <v>78637402</v>
      </c>
      <c r="G17" s="5">
        <v>0</v>
      </c>
    </row>
    <row r="18" spans="1:7" x14ac:dyDescent="0.25">
      <c r="A18" s="2" t="s">
        <v>11</v>
      </c>
      <c r="B18" s="5">
        <f t="shared" si="3"/>
        <v>1449500000</v>
      </c>
      <c r="C18" s="5">
        <f t="shared" si="2"/>
        <v>1249500000</v>
      </c>
      <c r="D18" s="5">
        <v>450000000</v>
      </c>
      <c r="E18" s="5">
        <v>799500000</v>
      </c>
      <c r="F18" s="11">
        <v>200000000</v>
      </c>
      <c r="G18" s="5">
        <v>0</v>
      </c>
    </row>
    <row r="19" spans="1:7" x14ac:dyDescent="0.25">
      <c r="A19" s="2" t="s">
        <v>75</v>
      </c>
      <c r="B19" s="5">
        <f t="shared" si="3"/>
        <v>848195750</v>
      </c>
      <c r="C19" s="5">
        <f>C17</f>
        <v>848195750</v>
      </c>
      <c r="D19" s="5">
        <f t="shared" ref="D19:E19" si="4">D17</f>
        <v>485573000</v>
      </c>
      <c r="E19" s="5">
        <f t="shared" si="4"/>
        <v>362622750</v>
      </c>
      <c r="F19" s="5"/>
      <c r="G19" s="5"/>
    </row>
    <row r="20" spans="1:7" x14ac:dyDescent="0.25">
      <c r="B20" s="5"/>
      <c r="C20" s="5"/>
      <c r="D20" s="5"/>
      <c r="E20" s="5"/>
      <c r="F20" s="5"/>
      <c r="G20" s="5"/>
    </row>
    <row r="21" spans="1:7" x14ac:dyDescent="0.25">
      <c r="A21" s="2" t="s">
        <v>14</v>
      </c>
      <c r="B21" s="5"/>
      <c r="C21" s="5"/>
      <c r="D21" s="5"/>
      <c r="E21" s="5"/>
      <c r="F21" s="5"/>
      <c r="G21" s="5"/>
    </row>
    <row r="22" spans="1:7" x14ac:dyDescent="0.25">
      <c r="A22" s="2" t="s">
        <v>72</v>
      </c>
      <c r="B22" s="5">
        <f t="shared" ref="B22" si="5">C22+F22+G22</f>
        <v>326500000</v>
      </c>
      <c r="C22" s="5">
        <f>D22+E22</f>
        <v>286500000</v>
      </c>
      <c r="D22" s="5">
        <f t="shared" ref="D22:G22" si="6">D16</f>
        <v>286500000</v>
      </c>
      <c r="E22" s="5">
        <f t="shared" si="6"/>
        <v>0</v>
      </c>
      <c r="F22" s="5">
        <f t="shared" si="6"/>
        <v>40000000</v>
      </c>
      <c r="G22" s="5">
        <f t="shared" si="6"/>
        <v>0</v>
      </c>
    </row>
    <row r="23" spans="1:7" x14ac:dyDescent="0.25">
      <c r="A23" s="2" t="s">
        <v>73</v>
      </c>
      <c r="B23" s="5">
        <v>384170000</v>
      </c>
      <c r="C23" s="1"/>
      <c r="D23" s="5">
        <v>340500000</v>
      </c>
      <c r="E23" s="5">
        <v>43670000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15</v>
      </c>
      <c r="B25" s="1"/>
      <c r="C25" s="1"/>
      <c r="D25" s="1"/>
      <c r="E25" s="1"/>
      <c r="F25" s="1"/>
      <c r="G25" s="1"/>
    </row>
    <row r="26" spans="1:7" x14ac:dyDescent="0.25">
      <c r="A26" s="2" t="s">
        <v>76</v>
      </c>
      <c r="B26" s="1">
        <v>1.4207485692333333</v>
      </c>
      <c r="C26" s="1">
        <v>1.4207485692333333</v>
      </c>
      <c r="D26" s="1">
        <v>1.4207485692333333</v>
      </c>
      <c r="E26" s="1">
        <v>1.4207485692333333</v>
      </c>
      <c r="F26" s="1">
        <v>1.4207485692333299</v>
      </c>
      <c r="G26" s="1">
        <v>1.4207485692333299</v>
      </c>
    </row>
    <row r="27" spans="1:7" x14ac:dyDescent="0.25">
      <c r="A27" s="2" t="s">
        <v>77</v>
      </c>
      <c r="B27" s="1">
        <v>1.4880743485666665</v>
      </c>
      <c r="C27" s="1">
        <v>1.4880743485666665</v>
      </c>
      <c r="D27" s="1">
        <v>1.4880743485666665</v>
      </c>
      <c r="E27" s="1">
        <v>1.4880743485666665</v>
      </c>
      <c r="F27" s="1">
        <v>1.4880743485666701</v>
      </c>
      <c r="G27" s="1">
        <v>1.4880743485666701</v>
      </c>
    </row>
    <row r="28" spans="1:7" x14ac:dyDescent="0.25">
      <c r="A28" s="2" t="s">
        <v>18</v>
      </c>
      <c r="B28" s="5">
        <v>87955</v>
      </c>
      <c r="C28" s="5">
        <v>87955</v>
      </c>
      <c r="D28" s="5">
        <v>87955</v>
      </c>
      <c r="E28" s="5">
        <v>87955</v>
      </c>
      <c r="F28" s="5">
        <v>87955</v>
      </c>
      <c r="G28" s="5">
        <v>87955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19</v>
      </c>
      <c r="B30" s="1"/>
      <c r="C30" s="1"/>
      <c r="D30" s="1"/>
      <c r="E30" s="1"/>
      <c r="F30" s="1"/>
      <c r="G30" s="1"/>
    </row>
    <row r="31" spans="1:7" x14ac:dyDescent="0.25">
      <c r="A31" s="2" t="s">
        <v>78</v>
      </c>
      <c r="B31" s="5">
        <f>B15/B26</f>
        <v>326033399.15377074</v>
      </c>
      <c r="C31" s="5">
        <f t="shared" ref="C31:G31" si="7">C15/C26</f>
        <v>303017363.3061009</v>
      </c>
      <c r="D31" s="5">
        <f t="shared" ref="D31:E31" si="8">D15/D26</f>
        <v>239798034.20378962</v>
      </c>
      <c r="E31" s="5">
        <f t="shared" si="8"/>
        <v>63219329.102311298</v>
      </c>
      <c r="F31" s="5">
        <f t="shared" si="7"/>
        <v>23016035.84766987</v>
      </c>
      <c r="G31" s="5">
        <f t="shared" si="7"/>
        <v>0</v>
      </c>
    </row>
    <row r="32" spans="1:7" x14ac:dyDescent="0.25">
      <c r="A32" s="2" t="s">
        <v>79</v>
      </c>
      <c r="B32" s="5">
        <f>B17/B27</f>
        <v>622840621.43315506</v>
      </c>
      <c r="C32" s="5">
        <f>C17/C27</f>
        <v>569995545.46249235</v>
      </c>
      <c r="D32" s="5">
        <f t="shared" ref="D32:E32" si="9">D17/D27</f>
        <v>326309636.65740931</v>
      </c>
      <c r="E32" s="5">
        <f t="shared" si="9"/>
        <v>243685908.80508301</v>
      </c>
      <c r="F32" s="5">
        <f t="shared" ref="F32:G32" si="10">F17/F27</f>
        <v>52845075.970662639</v>
      </c>
      <c r="G32" s="5">
        <f t="shared" si="10"/>
        <v>0</v>
      </c>
    </row>
    <row r="33" spans="1:7" x14ac:dyDescent="0.25">
      <c r="A33" s="2" t="s">
        <v>80</v>
      </c>
      <c r="B33" s="5">
        <f>B31/B9</f>
        <v>288780.69012734346</v>
      </c>
      <c r="C33" s="5">
        <f t="shared" ref="C33:G33" si="11">C31/C9</f>
        <v>1174485.9042872128</v>
      </c>
      <c r="D33" s="5">
        <f t="shared" ref="D33:E33" si="12">D31/D9</f>
        <v>1370274.4811645122</v>
      </c>
      <c r="E33" s="5">
        <f t="shared" si="12"/>
        <v>761678.6638832686</v>
      </c>
      <c r="F33" s="5">
        <f>F31/F9</f>
        <v>26424.840238426947</v>
      </c>
      <c r="G33" s="5" t="e">
        <f t="shared" si="11"/>
        <v>#DIV/0!</v>
      </c>
    </row>
    <row r="34" spans="1:7" x14ac:dyDescent="0.25">
      <c r="A34" s="2" t="s">
        <v>81</v>
      </c>
      <c r="B34" s="5">
        <f>B32/B11</f>
        <v>1211752.1817765662</v>
      </c>
      <c r="C34" s="5">
        <f t="shared" ref="C34:F34" si="13">C32/C11</f>
        <v>1628558.7013214068</v>
      </c>
      <c r="D34" s="5">
        <f t="shared" ref="D34:E34" si="14">D32/D11</f>
        <v>1919468.4509259372</v>
      </c>
      <c r="E34" s="5">
        <f t="shared" si="14"/>
        <v>1353810.6044726833</v>
      </c>
      <c r="F34" s="5">
        <f t="shared" si="13"/>
        <v>322226.07299184537</v>
      </c>
      <c r="G34" s="5" t="e">
        <f>G32/G11</f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24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25</v>
      </c>
      <c r="B38" s="1"/>
      <c r="C38" s="1"/>
      <c r="D38" s="1"/>
      <c r="E38" s="1"/>
      <c r="F38" s="1"/>
      <c r="G38" s="1"/>
    </row>
    <row r="39" spans="1:7" x14ac:dyDescent="0.25">
      <c r="A39" s="2" t="s">
        <v>26</v>
      </c>
      <c r="B39" s="1">
        <f>B10/B28*100</f>
        <v>0.61508726053095331</v>
      </c>
      <c r="C39" s="1">
        <f>C10/C28*100</f>
        <v>0.21715650048320162</v>
      </c>
      <c r="D39" s="1">
        <f t="shared" ref="D39:E39" si="15">D10/D28*100</f>
        <v>0.21715650048320162</v>
      </c>
      <c r="E39" s="1">
        <f t="shared" si="15"/>
        <v>0</v>
      </c>
      <c r="F39" s="1">
        <f>F10/F28*100</f>
        <v>0.39793076004775174</v>
      </c>
      <c r="G39" s="1">
        <f>G10/G28*100</f>
        <v>0</v>
      </c>
    </row>
    <row r="40" spans="1:7" x14ac:dyDescent="0.25">
      <c r="A40" s="2" t="s">
        <v>27</v>
      </c>
      <c r="B40" s="1">
        <f>B11/B28*100</f>
        <v>0.58438974475584105</v>
      </c>
      <c r="C40" s="1">
        <f>C11/C28*100</f>
        <v>0.39793076004775174</v>
      </c>
      <c r="D40" s="1">
        <f t="shared" ref="D40:E40" si="16">D11/D28*100</f>
        <v>0.19328065488033655</v>
      </c>
      <c r="E40" s="1">
        <f t="shared" si="16"/>
        <v>0.20465010516741516</v>
      </c>
      <c r="F40" s="1">
        <f>F11/F28*100</f>
        <v>0.18645898470808936</v>
      </c>
      <c r="G40" s="1">
        <f>G11/G28*100</f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28</v>
      </c>
      <c r="B42" s="1"/>
      <c r="C42" s="1"/>
      <c r="D42" s="1"/>
      <c r="E42" s="1"/>
      <c r="F42" s="1"/>
      <c r="G42" s="1"/>
    </row>
    <row r="43" spans="1:7" x14ac:dyDescent="0.25">
      <c r="A43" s="2" t="s">
        <v>29</v>
      </c>
      <c r="B43" s="1">
        <f>B11/B10*100</f>
        <v>95.009242144177449</v>
      </c>
      <c r="C43" s="1">
        <f>C11/C10*100</f>
        <v>183.24607329842934</v>
      </c>
      <c r="D43" s="1">
        <f t="shared" ref="D43:E43" si="17">D11/D10*100</f>
        <v>89.005235602094245</v>
      </c>
      <c r="E43" s="1" t="e">
        <f t="shared" si="17"/>
        <v>#DIV/0!</v>
      </c>
      <c r="F43" s="1">
        <f t="shared" ref="F43" si="18">F11/F10*100</f>
        <v>46.857142857142861</v>
      </c>
      <c r="G43" s="1" t="e">
        <f>G11/G10*100</f>
        <v>#DIV/0!</v>
      </c>
    </row>
    <row r="44" spans="1:7" x14ac:dyDescent="0.25">
      <c r="A44" s="2" t="s">
        <v>30</v>
      </c>
      <c r="B44" s="1">
        <f>B17/B16*100</f>
        <v>283.86926554364476</v>
      </c>
      <c r="C44" s="1">
        <f>C17/C16*100</f>
        <v>296.05436300174517</v>
      </c>
      <c r="D44" s="1">
        <f t="shared" ref="D44:E44" si="19">D17/D16*100</f>
        <v>169.4844677137871</v>
      </c>
      <c r="E44" s="1" t="e">
        <f t="shared" si="19"/>
        <v>#DIV/0!</v>
      </c>
      <c r="F44" s="1">
        <f t="shared" ref="F44:G44" si="20">F17/F16*100</f>
        <v>196.59350499999999</v>
      </c>
      <c r="G44" s="1" t="e">
        <f t="shared" si="20"/>
        <v>#DIV/0!</v>
      </c>
    </row>
    <row r="45" spans="1:7" x14ac:dyDescent="0.25">
      <c r="A45" s="2" t="s">
        <v>31</v>
      </c>
      <c r="B45" s="1">
        <f>AVERAGE(B43:B44)</f>
        <v>189.4392538439111</v>
      </c>
      <c r="C45" s="1">
        <f t="shared" ref="C45:G45" si="21">AVERAGE(C43:C44)</f>
        <v>239.65021815008726</v>
      </c>
      <c r="D45" s="1">
        <f t="shared" ref="D45:E45" si="22">AVERAGE(D43:D44)</f>
        <v>129.24485165794067</v>
      </c>
      <c r="E45" s="1" t="e">
        <f t="shared" si="22"/>
        <v>#DIV/0!</v>
      </c>
      <c r="F45" s="1">
        <f>AVERAGE(F43:F44)</f>
        <v>121.72532392857143</v>
      </c>
      <c r="G45" s="1" t="e">
        <f t="shared" si="21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32</v>
      </c>
      <c r="B47" s="1"/>
      <c r="C47" s="1"/>
      <c r="D47" s="1"/>
      <c r="E47" s="1"/>
      <c r="F47" s="1"/>
      <c r="G47" s="1"/>
    </row>
    <row r="48" spans="1:7" x14ac:dyDescent="0.25">
      <c r="A48" s="2" t="s">
        <v>33</v>
      </c>
      <c r="B48" s="1">
        <f>B11/B12*100</f>
        <v>19.899341850561363</v>
      </c>
      <c r="C48" s="1">
        <f>C11/C12*100</f>
        <v>42.016806722689076</v>
      </c>
      <c r="D48" s="1">
        <f t="shared" ref="D48:E48" si="23">D11/D12*100</f>
        <v>56.666666666666664</v>
      </c>
      <c r="E48" s="1">
        <f t="shared" si="23"/>
        <v>33.771106941838646</v>
      </c>
      <c r="F48" s="1">
        <f t="shared" ref="F48:G48" si="24">F11/F12*100</f>
        <v>9.3714285714285701</v>
      </c>
      <c r="G48" s="1" t="e">
        <f t="shared" si="24"/>
        <v>#DIV/0!</v>
      </c>
    </row>
    <row r="49" spans="1:7" x14ac:dyDescent="0.25">
      <c r="A49" s="2" t="s">
        <v>34</v>
      </c>
      <c r="B49" s="1">
        <f>B17/B18*100</f>
        <v>63.941576543635733</v>
      </c>
      <c r="C49" s="1">
        <f>C17/C18*100</f>
        <v>67.882813125250095</v>
      </c>
      <c r="D49" s="1">
        <f t="shared" ref="D49:E49" si="25">D17/D18*100</f>
        <v>107.90511111111113</v>
      </c>
      <c r="E49" s="1">
        <f t="shared" si="25"/>
        <v>45.356191369606002</v>
      </c>
      <c r="F49" s="1">
        <f t="shared" ref="F49:G49" si="26">F17/F18*100</f>
        <v>39.318700999999997</v>
      </c>
      <c r="G49" s="1" t="e">
        <f t="shared" si="26"/>
        <v>#DIV/0!</v>
      </c>
    </row>
    <row r="50" spans="1:7" x14ac:dyDescent="0.25">
      <c r="A50" s="2" t="s">
        <v>35</v>
      </c>
      <c r="B50" s="1">
        <f>AVERAGE(B48:B49)</f>
        <v>41.920459197098552</v>
      </c>
      <c r="C50" s="1">
        <f t="shared" ref="C50:G50" si="27">AVERAGE(C48:C49)</f>
        <v>54.949809923969582</v>
      </c>
      <c r="D50" s="1">
        <f t="shared" ref="D50:E50" si="28">AVERAGE(D48:D49)</f>
        <v>82.285888888888891</v>
      </c>
      <c r="E50" s="1">
        <f t="shared" si="28"/>
        <v>39.563649155722324</v>
      </c>
      <c r="F50" s="1">
        <f t="shared" si="27"/>
        <v>24.345064785714285</v>
      </c>
      <c r="G50" s="1" t="e">
        <f t="shared" si="27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36</v>
      </c>
      <c r="B52" s="1"/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37</v>
      </c>
      <c r="B54" s="1"/>
      <c r="C54" s="1"/>
      <c r="D54" s="1"/>
      <c r="E54" s="1"/>
      <c r="F54" s="1"/>
      <c r="G54" s="1"/>
    </row>
    <row r="55" spans="1:7" x14ac:dyDescent="0.25">
      <c r="A55" s="2" t="s">
        <v>38</v>
      </c>
      <c r="B55" s="1">
        <f>((B11/B9)-1)*100</f>
        <v>-54.472984942426926</v>
      </c>
      <c r="C55" s="1">
        <f t="shared" ref="C55:E55" si="29">((C11/C9)-1)*100</f>
        <v>35.65891472868217</v>
      </c>
      <c r="D55" s="1">
        <f t="shared" si="29"/>
        <v>-2.8571428571428581</v>
      </c>
      <c r="E55" s="1">
        <f t="shared" si="29"/>
        <v>116.86746987951805</v>
      </c>
      <c r="F55" s="1">
        <f>((F11/F9)-1)*100</f>
        <v>-81.171067738231912</v>
      </c>
      <c r="G55" s="1" t="e">
        <f>((G11/G9)-1)*100</f>
        <v>#DIV/0!</v>
      </c>
    </row>
    <row r="56" spans="1:7" x14ac:dyDescent="0.25">
      <c r="A56" s="2" t="s">
        <v>39</v>
      </c>
      <c r="B56" s="1">
        <f>((B32/B31)-1)*100</f>
        <v>91.035833460546115</v>
      </c>
      <c r="C56" s="1">
        <f>((C32/C31)-1)*100</f>
        <v>88.106562357846286</v>
      </c>
      <c r="D56" s="1">
        <f t="shared" ref="D56:E56" si="30">((D32/D31)-1)*100</f>
        <v>36.076860571800509</v>
      </c>
      <c r="E56" s="1">
        <f t="shared" si="30"/>
        <v>285.4610801242651</v>
      </c>
      <c r="F56" s="1">
        <f t="shared" ref="F56:G56" si="31">((F32/F31)-1)*100</f>
        <v>129.60111949952773</v>
      </c>
      <c r="G56" s="1" t="e">
        <f t="shared" si="31"/>
        <v>#DIV/0!</v>
      </c>
    </row>
    <row r="57" spans="1:7" x14ac:dyDescent="0.25">
      <c r="A57" s="2" t="s">
        <v>40</v>
      </c>
      <c r="B57" s="1">
        <f>((B34/B33)-1)*100</f>
        <v>319.60983653104387</v>
      </c>
      <c r="C57" s="1">
        <f t="shared" ref="C57:G57" si="32">((C34/C33)-1)*100</f>
        <v>38.661408823783837</v>
      </c>
      <c r="D57" s="1">
        <f t="shared" ref="D57:E57" si="33">((D34/D33)-1)*100</f>
        <v>40.079121176853462</v>
      </c>
      <c r="E57" s="1">
        <f t="shared" si="33"/>
        <v>77.74038694618892</v>
      </c>
      <c r="F57" s="1">
        <f t="shared" si="32"/>
        <v>1119.405945634687</v>
      </c>
      <c r="G57" s="1" t="e">
        <f t="shared" si="32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41</v>
      </c>
      <c r="B59" s="1"/>
      <c r="C59" s="1"/>
      <c r="D59" s="1"/>
      <c r="E59" s="1"/>
      <c r="F59" s="1"/>
      <c r="G59" s="1"/>
    </row>
    <row r="60" spans="1:7" x14ac:dyDescent="0.25">
      <c r="A60" s="2" t="s">
        <v>168</v>
      </c>
      <c r="B60" s="8">
        <f>B16/(B10*3)</f>
        <v>201170.67159581021</v>
      </c>
      <c r="C60" s="8">
        <f t="shared" ref="C60:G60" si="34">C16/(C10*3)</f>
        <v>500000</v>
      </c>
      <c r="D60" s="8">
        <f t="shared" si="34"/>
        <v>500000</v>
      </c>
      <c r="E60" s="8" t="e">
        <f t="shared" si="34"/>
        <v>#DIV/0!</v>
      </c>
      <c r="F60" s="8">
        <f t="shared" si="34"/>
        <v>38095.238095238092</v>
      </c>
      <c r="G60" s="5" t="e">
        <f t="shared" si="34"/>
        <v>#DIV/0!</v>
      </c>
    </row>
    <row r="61" spans="1:7" x14ac:dyDescent="0.25">
      <c r="A61" s="2" t="s">
        <v>169</v>
      </c>
      <c r="B61" s="8">
        <f>B17/(B11*3)</f>
        <v>601059.1128404669</v>
      </c>
      <c r="C61" s="8">
        <f t="shared" ref="C61:G61" si="35">C17/(C11*3)</f>
        <v>807805.47619047621</v>
      </c>
      <c r="D61" s="8">
        <f t="shared" si="35"/>
        <v>952103.92156862747</v>
      </c>
      <c r="E61" s="8">
        <f t="shared" si="35"/>
        <v>671523.61111111112</v>
      </c>
      <c r="F61" s="8">
        <f t="shared" si="35"/>
        <v>159832.11788617886</v>
      </c>
      <c r="G61" s="5" t="e">
        <f t="shared" si="35"/>
        <v>#DIV/0!</v>
      </c>
    </row>
    <row r="62" spans="1:7" x14ac:dyDescent="0.25">
      <c r="A62" s="2" t="s">
        <v>42</v>
      </c>
      <c r="B62" s="8">
        <f>(B60/B61)*B45</f>
        <v>63.404116347710755</v>
      </c>
      <c r="C62" s="8">
        <f t="shared" ref="C62:G62" si="36">(C60/C61)*C45</f>
        <v>148.33411335625746</v>
      </c>
      <c r="D62" s="8">
        <f t="shared" ref="D62:E62" si="37">(D60/D61)*D45</f>
        <v>67.873290262792352</v>
      </c>
      <c r="E62" s="8" t="e">
        <f t="shared" si="37"/>
        <v>#DIV/0!</v>
      </c>
      <c r="F62" s="8">
        <f t="shared" si="36"/>
        <v>29.012661901791013</v>
      </c>
      <c r="G62" s="1" t="e">
        <f t="shared" si="36"/>
        <v>#DIV/0!</v>
      </c>
    </row>
    <row r="63" spans="1:7" x14ac:dyDescent="0.25">
      <c r="A63" s="2" t="s">
        <v>170</v>
      </c>
      <c r="B63" s="8">
        <f>B16/B10</f>
        <v>603512.01478743064</v>
      </c>
      <c r="C63" s="8">
        <f t="shared" ref="C63:G63" si="38">C16/C10</f>
        <v>1500000</v>
      </c>
      <c r="D63" s="8">
        <f t="shared" si="38"/>
        <v>1500000</v>
      </c>
      <c r="E63" s="8" t="e">
        <f t="shared" si="38"/>
        <v>#DIV/0!</v>
      </c>
      <c r="F63" s="8">
        <f t="shared" si="38"/>
        <v>114285.71428571429</v>
      </c>
      <c r="G63" s="5" t="e">
        <f t="shared" si="38"/>
        <v>#DIV/0!</v>
      </c>
    </row>
    <row r="64" spans="1:7" x14ac:dyDescent="0.25">
      <c r="A64" s="2" t="s">
        <v>171</v>
      </c>
      <c r="B64" s="8">
        <f>B17/B11</f>
        <v>1803177.3385214007</v>
      </c>
      <c r="C64" s="8">
        <f t="shared" ref="C64:G64" si="39">C17/C11</f>
        <v>2423416.4285714286</v>
      </c>
      <c r="D64" s="8">
        <f t="shared" si="39"/>
        <v>2856311.7647058824</v>
      </c>
      <c r="E64" s="8">
        <f t="shared" si="39"/>
        <v>2014570.8333333333</v>
      </c>
      <c r="F64" s="8">
        <f t="shared" si="39"/>
        <v>479496.35365853657</v>
      </c>
      <c r="G64" s="5" t="e">
        <f t="shared" si="39"/>
        <v>#DIV/0!</v>
      </c>
    </row>
    <row r="65" spans="1:7" x14ac:dyDescent="0.25">
      <c r="B65" s="1"/>
      <c r="C65" s="1"/>
      <c r="D65" s="1"/>
      <c r="E65" s="1"/>
      <c r="F65" s="1"/>
      <c r="G65" s="1"/>
    </row>
    <row r="66" spans="1:7" x14ac:dyDescent="0.25">
      <c r="A66" s="2" t="s">
        <v>43</v>
      </c>
      <c r="B66" s="1"/>
      <c r="C66" s="1"/>
      <c r="D66" s="1"/>
      <c r="E66" s="1"/>
      <c r="F66" s="1"/>
      <c r="G66" s="1"/>
    </row>
    <row r="67" spans="1:7" x14ac:dyDescent="0.25">
      <c r="A67" s="2" t="s">
        <v>44</v>
      </c>
      <c r="B67" s="1">
        <f>(B23/B22)*100</f>
        <v>117.66309341500765</v>
      </c>
      <c r="C67" s="1"/>
      <c r="D67" s="1">
        <f>(D23/D22)*100</f>
        <v>118.84816753926701</v>
      </c>
      <c r="E67" s="1">
        <f>(E23/(E22+F22))*100</f>
        <v>109.175</v>
      </c>
      <c r="F67" s="1"/>
      <c r="G67" s="1"/>
    </row>
    <row r="68" spans="1:7" x14ac:dyDescent="0.25">
      <c r="A68" s="2" t="s">
        <v>45</v>
      </c>
      <c r="B68" s="1">
        <f>(B17/B23)*100</f>
        <v>241.25599396100682</v>
      </c>
      <c r="C68" s="1"/>
      <c r="D68" s="1">
        <f t="shared" ref="D68" si="40">(D17/D23)*100</f>
        <v>142.6058737151248</v>
      </c>
      <c r="E68" s="1">
        <f>((E17+F17)/E23)*100</f>
        <v>1010.4422990611404</v>
      </c>
      <c r="F68" s="1"/>
      <c r="G68" s="1"/>
    </row>
    <row r="69" spans="1:7" x14ac:dyDescent="0.25">
      <c r="B69" s="1"/>
      <c r="C69" s="1"/>
      <c r="D69" s="1"/>
      <c r="E69" s="1"/>
      <c r="F69" s="1"/>
      <c r="G69" s="1"/>
    </row>
    <row r="70" spans="1:7" ht="15.75" thickBot="1" x14ac:dyDescent="0.3">
      <c r="A70" s="34"/>
      <c r="B70" s="34"/>
      <c r="C70" s="34"/>
      <c r="D70" s="34"/>
      <c r="E70" s="34"/>
      <c r="F70" s="34"/>
      <c r="G70" s="34"/>
    </row>
    <row r="71" spans="1:7" ht="15.75" thickTop="1" x14ac:dyDescent="0.25"/>
    <row r="72" spans="1:7" x14ac:dyDescent="0.25">
      <c r="A72" s="2" t="s">
        <v>138</v>
      </c>
    </row>
    <row r="73" spans="1:7" x14ac:dyDescent="0.25">
      <c r="A73" s="2" t="s">
        <v>156</v>
      </c>
    </row>
    <row r="74" spans="1:7" x14ac:dyDescent="0.25">
      <c r="A74" s="2" t="s">
        <v>139</v>
      </c>
    </row>
    <row r="75" spans="1:7" x14ac:dyDescent="0.25">
      <c r="A75" s="2" t="s">
        <v>157</v>
      </c>
    </row>
    <row r="77" spans="1:7" x14ac:dyDescent="0.25">
      <c r="A77" s="2" t="s">
        <v>151</v>
      </c>
    </row>
    <row r="78" spans="1:7" x14ac:dyDescent="0.25">
      <c r="A78" s="2" t="s">
        <v>152</v>
      </c>
    </row>
    <row r="79" spans="1:7" x14ac:dyDescent="0.25">
      <c r="A79" s="2" t="s">
        <v>153</v>
      </c>
    </row>
    <row r="80" spans="1:7" x14ac:dyDescent="0.25">
      <c r="A80" s="2" t="s">
        <v>154</v>
      </c>
    </row>
    <row r="81" spans="1:1" x14ac:dyDescent="0.25">
      <c r="A81" s="2" t="s">
        <v>155</v>
      </c>
    </row>
    <row r="82" spans="1:1" x14ac:dyDescent="0.25">
      <c r="A82" s="2" t="s">
        <v>165</v>
      </c>
    </row>
    <row r="83" spans="1:1" x14ac:dyDescent="0.25">
      <c r="A83" s="39" t="s">
        <v>166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85" workbookViewId="0">
      <selection activeCell="B67" sqref="B67:E68"/>
    </sheetView>
  </sheetViews>
  <sheetFormatPr baseColWidth="10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77" t="s">
        <v>162</v>
      </c>
      <c r="B1" s="77"/>
      <c r="C1" s="77"/>
      <c r="D1" s="77"/>
      <c r="E1" s="77"/>
      <c r="F1" s="77"/>
      <c r="G1" s="77"/>
    </row>
    <row r="3" spans="1:7" x14ac:dyDescent="0.25">
      <c r="A3" s="80" t="s">
        <v>0</v>
      </c>
      <c r="B3" s="75" t="s">
        <v>46</v>
      </c>
      <c r="C3" s="78" t="s">
        <v>2</v>
      </c>
      <c r="D3" s="78"/>
      <c r="E3" s="78"/>
      <c r="F3" s="78"/>
      <c r="G3" s="78"/>
    </row>
    <row r="4" spans="1:7" ht="15.75" thickBot="1" x14ac:dyDescent="0.3">
      <c r="A4" s="81"/>
      <c r="B4" s="83"/>
      <c r="C4" s="79" t="s">
        <v>3</v>
      </c>
      <c r="D4" s="79"/>
      <c r="E4" s="79"/>
      <c r="F4" s="75" t="s">
        <v>4</v>
      </c>
      <c r="G4" s="75" t="s">
        <v>5</v>
      </c>
    </row>
    <row r="5" spans="1:7" ht="16.5" thickTop="1" thickBot="1" x14ac:dyDescent="0.3">
      <c r="A5" s="82"/>
      <c r="B5" s="76"/>
      <c r="C5" s="35" t="s">
        <v>1</v>
      </c>
      <c r="D5" s="35" t="s">
        <v>135</v>
      </c>
      <c r="E5" s="35" t="s">
        <v>137</v>
      </c>
      <c r="F5" s="76"/>
      <c r="G5" s="76"/>
    </row>
    <row r="6" spans="1:7" ht="15.75" thickTop="1" x14ac:dyDescent="0.25">
      <c r="A6" s="36"/>
      <c r="B6" s="37"/>
      <c r="C6" s="38"/>
      <c r="D6" s="38"/>
      <c r="E6" s="38"/>
      <c r="F6" s="37"/>
      <c r="G6" s="37"/>
    </row>
    <row r="7" spans="1:7" x14ac:dyDescent="0.25">
      <c r="A7" s="4" t="s">
        <v>6</v>
      </c>
    </row>
    <row r="8" spans="1:7" x14ac:dyDescent="0.25">
      <c r="A8" s="2" t="s">
        <v>7</v>
      </c>
    </row>
    <row r="9" spans="1:7" x14ac:dyDescent="0.25">
      <c r="A9" s="2" t="s">
        <v>140</v>
      </c>
      <c r="B9" s="5">
        <f>C9+F9+G9</f>
        <v>626</v>
      </c>
      <c r="C9" s="5">
        <f>'I trimestre'!C9+'II Trimestre'!C9</f>
        <v>626</v>
      </c>
      <c r="D9" s="5">
        <f>'I trimestre'!D9+'II Trimestre'!D9</f>
        <v>314</v>
      </c>
      <c r="E9" s="5">
        <f>'I trimestre'!E9+'II Trimestre'!E9</f>
        <v>312</v>
      </c>
      <c r="F9" s="42">
        <v>0</v>
      </c>
      <c r="G9" s="5">
        <f>'I trimestre'!G9+'II Trimestre'!G9+'III Trimestre'!G9+'IV Trimestre'!G9</f>
        <v>0</v>
      </c>
    </row>
    <row r="10" spans="1:7" x14ac:dyDescent="0.25">
      <c r="A10" s="2" t="s">
        <v>141</v>
      </c>
      <c r="B10" s="5">
        <f t="shared" ref="B10:B12" si="0">C10+F10+G10</f>
        <v>1229</v>
      </c>
      <c r="C10" s="5">
        <f>'I trimestre'!C10+'II Trimestre'!C10</f>
        <v>354</v>
      </c>
      <c r="D10" s="5">
        <f>'I trimestre'!D10+'II Trimestre'!D10</f>
        <v>109</v>
      </c>
      <c r="E10" s="5">
        <f>'I trimestre'!E10+'II Trimestre'!E10</f>
        <v>245</v>
      </c>
      <c r="F10" s="5">
        <f>'I trimestre'!F10+'II Trimestre'!F10</f>
        <v>875</v>
      </c>
      <c r="G10" s="5">
        <v>0</v>
      </c>
    </row>
    <row r="11" spans="1:7" x14ac:dyDescent="0.25">
      <c r="A11" s="2" t="s">
        <v>142</v>
      </c>
      <c r="B11" s="5">
        <f t="shared" si="0"/>
        <v>845</v>
      </c>
      <c r="C11" s="5">
        <f>'I trimestre'!C11+'II Trimestre'!C11</f>
        <v>147</v>
      </c>
      <c r="D11" s="5">
        <f>'I trimestre'!D11+'II Trimestre'!D11</f>
        <v>16</v>
      </c>
      <c r="E11" s="5">
        <f>'I trimestre'!E11+'II Trimestre'!E11</f>
        <v>131</v>
      </c>
      <c r="F11" s="5">
        <f>'I trimestre'!F11+'II Trimestre'!F11</f>
        <v>698</v>
      </c>
      <c r="G11" s="5">
        <f>'I trimestre'!G11+'II Trimestre'!G11+'III Trimestre'!G11+'IV Trimestre'!G11</f>
        <v>0</v>
      </c>
    </row>
    <row r="12" spans="1:7" x14ac:dyDescent="0.25">
      <c r="A12" s="2" t="s">
        <v>11</v>
      </c>
      <c r="B12" s="5">
        <f t="shared" si="0"/>
        <v>2583</v>
      </c>
      <c r="C12" s="5">
        <f t="shared" ref="C12" si="1">D12+E12</f>
        <v>833</v>
      </c>
      <c r="D12" s="5">
        <v>300</v>
      </c>
      <c r="E12" s="5">
        <v>533</v>
      </c>
      <c r="F12" s="5">
        <v>1750</v>
      </c>
      <c r="G12" s="5">
        <v>0</v>
      </c>
    </row>
    <row r="13" spans="1:7" x14ac:dyDescent="0.25">
      <c r="B13" s="1"/>
      <c r="C13" s="1"/>
      <c r="D13" s="1"/>
      <c r="E13" s="1"/>
      <c r="F13" s="1"/>
      <c r="G13" s="1"/>
    </row>
    <row r="14" spans="1:7" x14ac:dyDescent="0.25">
      <c r="A14" s="2" t="s">
        <v>12</v>
      </c>
      <c r="B14" s="1"/>
      <c r="C14" s="1"/>
      <c r="D14" s="1"/>
      <c r="E14" s="1"/>
      <c r="F14" s="1"/>
      <c r="G14" s="1"/>
    </row>
    <row r="15" spans="1:7" x14ac:dyDescent="0.25">
      <c r="A15" s="2" t="s">
        <v>143</v>
      </c>
      <c r="B15" s="5">
        <f>'I trimestre'!B15+'II Trimestre'!B15</f>
        <v>988929552.58999991</v>
      </c>
      <c r="C15" s="5">
        <f>'I trimestre'!C15+'II Trimestre'!C15</f>
        <v>939609552.58999991</v>
      </c>
      <c r="D15" s="5">
        <f>'I trimestre'!D15+'II Trimestre'!D15</f>
        <v>510192117.58999997</v>
      </c>
      <c r="E15" s="5">
        <f>'I trimestre'!E15+'II Trimestre'!E15</f>
        <v>429417435</v>
      </c>
      <c r="F15" s="5">
        <f>'I trimestre'!F15+'II Trimestre'!F15</f>
        <v>49320000</v>
      </c>
      <c r="G15" s="5">
        <f>'I trimestre'!G15+'II Trimestre'!G15+'III Trimestre'!G15</f>
        <v>0</v>
      </c>
    </row>
    <row r="16" spans="1:7" x14ac:dyDescent="0.25">
      <c r="A16" s="2" t="s">
        <v>141</v>
      </c>
      <c r="B16" s="5">
        <f>'I trimestre'!B16+'II Trimestre'!B16</f>
        <v>631000000</v>
      </c>
      <c r="C16" s="5">
        <f>'I trimestre'!C16+'II Trimestre'!C16</f>
        <v>531000000</v>
      </c>
      <c r="D16" s="5">
        <f>'I trimestre'!D16+'II Trimestre'!D16</f>
        <v>163500000</v>
      </c>
      <c r="E16" s="5">
        <f>'I trimestre'!E16+'II Trimestre'!E16</f>
        <v>367500000</v>
      </c>
      <c r="F16" s="5">
        <f>'I trimestre'!F16+'II Trimestre'!F16</f>
        <v>100000000</v>
      </c>
      <c r="G16" s="5">
        <f>'I trimestre'!G16+'II Trimestre'!G16+'III Trimestre'!G16</f>
        <v>0</v>
      </c>
    </row>
    <row r="17" spans="1:7" x14ac:dyDescent="0.25">
      <c r="A17" s="2" t="s">
        <v>142</v>
      </c>
      <c r="B17" s="5">
        <f>'I trimestre'!B17+'II Trimestre'!B17</f>
        <v>260112961.88999999</v>
      </c>
      <c r="C17" s="5">
        <f>'I trimestre'!C17+'II Trimestre'!C17</f>
        <v>211352461.97</v>
      </c>
      <c r="D17" s="5">
        <f>'I trimestre'!D17+'II Trimestre'!D17</f>
        <v>0</v>
      </c>
      <c r="E17" s="5">
        <f>'I trimestre'!E17+'II Trimestre'!E17</f>
        <v>211352461.97</v>
      </c>
      <c r="F17" s="5">
        <f>'I trimestre'!F17+'II Trimestre'!F17</f>
        <v>48760499.920000002</v>
      </c>
      <c r="G17" s="5">
        <f>'I trimestre'!G17+'II Trimestre'!G17+'III Trimestre'!G17</f>
        <v>0</v>
      </c>
    </row>
    <row r="18" spans="1:7" x14ac:dyDescent="0.25">
      <c r="A18" s="2" t="s">
        <v>11</v>
      </c>
      <c r="B18" s="5">
        <f>'II Trimestre'!B18</f>
        <v>1449500000</v>
      </c>
      <c r="C18" s="5">
        <f>'II Trimestre'!C18</f>
        <v>1249500000</v>
      </c>
      <c r="D18" s="5">
        <v>450000000</v>
      </c>
      <c r="E18" s="5">
        <v>799500000</v>
      </c>
      <c r="F18" s="11">
        <v>200000000</v>
      </c>
      <c r="G18" s="5">
        <f>'II Trimestre'!G18</f>
        <v>0</v>
      </c>
    </row>
    <row r="19" spans="1:7" x14ac:dyDescent="0.25">
      <c r="A19" s="2" t="s">
        <v>144</v>
      </c>
      <c r="B19" s="5">
        <f>'I trimestre'!B19+'II Trimestre'!B19</f>
        <v>211352461.97</v>
      </c>
      <c r="C19" s="5">
        <f>'I trimestre'!C19+'II Trimestre'!C19</f>
        <v>211352461.97</v>
      </c>
      <c r="D19" s="5">
        <f>'I trimestre'!D19+'II Trimestre'!D19</f>
        <v>0</v>
      </c>
      <c r="E19" s="5">
        <f>'I trimestre'!E19+'II Trimestre'!E19</f>
        <v>211352461.97</v>
      </c>
      <c r="F19" s="5"/>
      <c r="G19" s="5">
        <v>0</v>
      </c>
    </row>
    <row r="20" spans="1:7" x14ac:dyDescent="0.25">
      <c r="B20" s="5"/>
      <c r="C20" s="5"/>
      <c r="D20" s="5"/>
      <c r="E20" s="5"/>
      <c r="F20" s="5"/>
      <c r="G20" s="5"/>
    </row>
    <row r="21" spans="1:7" x14ac:dyDescent="0.25">
      <c r="A21" s="2" t="s">
        <v>14</v>
      </c>
      <c r="B21" s="5"/>
      <c r="C21" s="5"/>
      <c r="D21" s="5"/>
      <c r="E21" s="5"/>
      <c r="F21" s="5"/>
      <c r="G21" s="5"/>
    </row>
    <row r="22" spans="1:7" x14ac:dyDescent="0.25">
      <c r="A22" s="2" t="s">
        <v>141</v>
      </c>
      <c r="B22" s="5">
        <f>B16</f>
        <v>631000000</v>
      </c>
      <c r="C22" s="5">
        <f t="shared" ref="C22:G22" si="2">C16</f>
        <v>531000000</v>
      </c>
      <c r="D22" s="5">
        <f t="shared" si="2"/>
        <v>163500000</v>
      </c>
      <c r="E22" s="5">
        <f t="shared" si="2"/>
        <v>367500000</v>
      </c>
      <c r="F22" s="5">
        <f t="shared" si="2"/>
        <v>100000000</v>
      </c>
      <c r="G22" s="5">
        <f t="shared" si="2"/>
        <v>0</v>
      </c>
    </row>
    <row r="23" spans="1:7" x14ac:dyDescent="0.25">
      <c r="A23" s="2" t="s">
        <v>142</v>
      </c>
      <c r="B23" s="5">
        <f>'I trimestre'!B23+'II Trimestre'!B23</f>
        <v>1922830000</v>
      </c>
      <c r="C23" s="1"/>
      <c r="D23" s="1"/>
      <c r="E23" s="1"/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15</v>
      </c>
      <c r="B25" s="1"/>
      <c r="C25" s="1"/>
      <c r="D25" s="1"/>
      <c r="E25" s="1"/>
      <c r="F25" s="1"/>
      <c r="G25" s="1"/>
    </row>
    <row r="26" spans="1:7" x14ac:dyDescent="0.25">
      <c r="A26" s="2" t="s">
        <v>145</v>
      </c>
      <c r="B26" s="1">
        <v>1.4000346908083336</v>
      </c>
      <c r="C26" s="1">
        <v>1.4000346908083336</v>
      </c>
      <c r="D26" s="1">
        <v>1.4000346908083336</v>
      </c>
      <c r="E26" s="1">
        <v>1.4000346908083336</v>
      </c>
      <c r="F26" s="1">
        <v>1.4000346908083336</v>
      </c>
      <c r="G26" s="1">
        <v>1.4000346908083336</v>
      </c>
    </row>
    <row r="27" spans="1:7" x14ac:dyDescent="0.25">
      <c r="A27" s="2" t="s">
        <v>146</v>
      </c>
      <c r="B27" s="1">
        <v>1.4683304717083334</v>
      </c>
      <c r="C27" s="1">
        <v>1.4683304717083334</v>
      </c>
      <c r="D27" s="1">
        <v>1.4683304717083334</v>
      </c>
      <c r="E27" s="1">
        <v>1.4683304717083334</v>
      </c>
      <c r="F27" s="1">
        <v>1.4683304717083334</v>
      </c>
      <c r="G27" s="1">
        <v>1.4683304717083334</v>
      </c>
    </row>
    <row r="28" spans="1:7" x14ac:dyDescent="0.25">
      <c r="A28" s="2" t="s">
        <v>18</v>
      </c>
      <c r="B28" s="5">
        <v>87955</v>
      </c>
      <c r="C28" s="5">
        <v>87955</v>
      </c>
      <c r="D28" s="5">
        <v>87955</v>
      </c>
      <c r="E28" s="5">
        <v>87955</v>
      </c>
      <c r="F28" s="5">
        <v>87955</v>
      </c>
      <c r="G28" s="5">
        <v>87955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19</v>
      </c>
      <c r="B30" s="1"/>
      <c r="C30" s="1"/>
      <c r="D30" s="1"/>
      <c r="E30" s="1"/>
      <c r="F30" s="1"/>
      <c r="G30" s="1"/>
    </row>
    <row r="31" spans="1:7" x14ac:dyDescent="0.25">
      <c r="A31" s="2" t="s">
        <v>147</v>
      </c>
      <c r="B31" s="5">
        <f>B15/B26</f>
        <v>706360748.8318913</v>
      </c>
      <c r="C31" s="5">
        <f t="shared" ref="C31:G31" si="3">C15/C26</f>
        <v>671133050.31570363</v>
      </c>
      <c r="D31" s="5">
        <f t="shared" ref="D31:E31" si="4">D15/D26</f>
        <v>364413911.26917857</v>
      </c>
      <c r="E31" s="5">
        <f t="shared" si="4"/>
        <v>306719139.04652506</v>
      </c>
      <c r="F31" s="5">
        <f t="shared" si="3"/>
        <v>35227698.516187668</v>
      </c>
      <c r="G31" s="5">
        <f t="shared" si="3"/>
        <v>0</v>
      </c>
    </row>
    <row r="32" spans="1:7" x14ac:dyDescent="0.25">
      <c r="A32" s="2" t="s">
        <v>148</v>
      </c>
      <c r="B32" s="5">
        <f>B17/B27</f>
        <v>177148786.93988472</v>
      </c>
      <c r="C32" s="5">
        <f t="shared" ref="C32:G32" si="5">C17/C27</f>
        <v>143940663.25144187</v>
      </c>
      <c r="D32" s="5">
        <f t="shared" ref="D32:E32" si="6">D17/D27</f>
        <v>0</v>
      </c>
      <c r="E32" s="5">
        <f t="shared" si="6"/>
        <v>143940663.25144187</v>
      </c>
      <c r="F32" s="5">
        <f t="shared" si="5"/>
        <v>33208123.688442871</v>
      </c>
      <c r="G32" s="5">
        <f t="shared" si="5"/>
        <v>0</v>
      </c>
    </row>
    <row r="33" spans="1:7" x14ac:dyDescent="0.25">
      <c r="A33" s="2" t="s">
        <v>149</v>
      </c>
      <c r="B33" s="5">
        <f>B31/B9</f>
        <v>1128371.8032458327</v>
      </c>
      <c r="C33" s="5">
        <f t="shared" ref="C33:G33" si="7">C31/C9</f>
        <v>1072097.5244659802</v>
      </c>
      <c r="D33" s="5">
        <f t="shared" ref="D33:E33" si="8">D31/D9</f>
        <v>1160553.8575451546</v>
      </c>
      <c r="E33" s="5">
        <f t="shared" si="8"/>
        <v>983074.16361065721</v>
      </c>
      <c r="F33" s="5" t="e">
        <f>F31/F9</f>
        <v>#DIV/0!</v>
      </c>
      <c r="G33" s="5" t="e">
        <f t="shared" si="7"/>
        <v>#DIV/0!</v>
      </c>
    </row>
    <row r="34" spans="1:7" x14ac:dyDescent="0.25">
      <c r="A34" s="2" t="s">
        <v>150</v>
      </c>
      <c r="B34" s="5">
        <f>B32/B11</f>
        <v>209643.53484010027</v>
      </c>
      <c r="C34" s="5">
        <f t="shared" ref="C34:F34" si="9">C32/C11</f>
        <v>979188.18538395828</v>
      </c>
      <c r="D34" s="5">
        <f t="shared" ref="D34:E34" si="10">D32/D11</f>
        <v>0</v>
      </c>
      <c r="E34" s="5">
        <f t="shared" si="10"/>
        <v>1098783.6889423043</v>
      </c>
      <c r="F34" s="5">
        <f t="shared" si="9"/>
        <v>47576.10843616457</v>
      </c>
      <c r="G34" s="5" t="e">
        <f>G32/G11</f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24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25</v>
      </c>
      <c r="B38" s="1"/>
      <c r="C38" s="1"/>
      <c r="D38" s="1"/>
      <c r="E38" s="1"/>
      <c r="F38" s="1"/>
      <c r="G38" s="1"/>
    </row>
    <row r="39" spans="1:7" x14ac:dyDescent="0.25">
      <c r="A39" s="2" t="s">
        <v>26</v>
      </c>
      <c r="B39" s="1">
        <f>B10/B28*100</f>
        <v>1.3973054402819622</v>
      </c>
      <c r="C39" s="1">
        <f>C10/C28*100</f>
        <v>0.40247854016258311</v>
      </c>
      <c r="D39" s="1">
        <f t="shared" ref="D39:E39" si="11">D10/D28*100</f>
        <v>0.12392700812915697</v>
      </c>
      <c r="E39" s="1">
        <f t="shared" si="11"/>
        <v>0.2785515320334262</v>
      </c>
      <c r="F39" s="1">
        <f>F10/F28*100</f>
        <v>0.99482690011937924</v>
      </c>
      <c r="G39" s="1">
        <f>G10/G28*100</f>
        <v>0</v>
      </c>
    </row>
    <row r="40" spans="1:7" x14ac:dyDescent="0.25">
      <c r="A40" s="2" t="s">
        <v>27</v>
      </c>
      <c r="B40" s="1">
        <f>B11/B28*100</f>
        <v>0.96071854925814326</v>
      </c>
      <c r="C40" s="1">
        <f>C11/C28*100</f>
        <v>0.16713091922005571</v>
      </c>
      <c r="D40" s="1">
        <f t="shared" ref="D40:E40" si="12">D11/D28*100</f>
        <v>1.8191120459325791E-2</v>
      </c>
      <c r="E40" s="1">
        <f t="shared" si="12"/>
        <v>0.14893979876072994</v>
      </c>
      <c r="F40" s="1">
        <f>F11/F28*100</f>
        <v>0.79358763003808763</v>
      </c>
      <c r="G40" s="1">
        <f>G11/G28*100</f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28</v>
      </c>
      <c r="B42" s="1"/>
      <c r="C42" s="1"/>
      <c r="D42" s="1"/>
      <c r="E42" s="1"/>
      <c r="F42" s="1"/>
      <c r="G42" s="1"/>
    </row>
    <row r="43" spans="1:7" x14ac:dyDescent="0.25">
      <c r="A43" s="2" t="s">
        <v>29</v>
      </c>
      <c r="B43" s="1">
        <f>B11/B10*100</f>
        <v>68.755085435313262</v>
      </c>
      <c r="C43" s="1">
        <f>C11/C10*100</f>
        <v>41.525423728813557</v>
      </c>
      <c r="D43" s="1">
        <f t="shared" ref="D43:E43" si="13">D11/D10*100</f>
        <v>14.678899082568808</v>
      </c>
      <c r="E43" s="1">
        <f t="shared" si="13"/>
        <v>53.469387755102041</v>
      </c>
      <c r="F43" s="1">
        <f t="shared" ref="F43" si="14">F11/F10*100</f>
        <v>79.771428571428572</v>
      </c>
      <c r="G43" s="1" t="e">
        <f>G11/G10*100</f>
        <v>#DIV/0!</v>
      </c>
    </row>
    <row r="44" spans="1:7" x14ac:dyDescent="0.25">
      <c r="A44" s="2" t="s">
        <v>30</v>
      </c>
      <c r="B44" s="1">
        <f>B17/B16*100</f>
        <v>41.22233944374009</v>
      </c>
      <c r="C44" s="1">
        <f t="shared" ref="C44:G44" si="15">C17/C16*100</f>
        <v>39.80272353483992</v>
      </c>
      <c r="D44" s="1">
        <f t="shared" ref="D44:E44" si="16">D17/D16*100</f>
        <v>0</v>
      </c>
      <c r="E44" s="1">
        <f t="shared" si="16"/>
        <v>57.510874005442183</v>
      </c>
      <c r="F44" s="1">
        <f t="shared" si="15"/>
        <v>48.760499920000001</v>
      </c>
      <c r="G44" s="1" t="e">
        <f t="shared" si="15"/>
        <v>#DIV/0!</v>
      </c>
    </row>
    <row r="45" spans="1:7" x14ac:dyDescent="0.25">
      <c r="A45" s="2" t="s">
        <v>31</v>
      </c>
      <c r="B45" s="1">
        <f>AVERAGE(B43:B44)</f>
        <v>54.98871243952668</v>
      </c>
      <c r="C45" s="1">
        <f t="shared" ref="C45:G45" si="17">AVERAGE(C43:C44)</f>
        <v>40.664073631826739</v>
      </c>
      <c r="D45" s="1">
        <f t="shared" ref="D45:E45" si="18">AVERAGE(D43:D44)</f>
        <v>7.3394495412844041</v>
      </c>
      <c r="E45" s="1">
        <f t="shared" si="18"/>
        <v>55.490130880272112</v>
      </c>
      <c r="F45" s="1">
        <f>AVERAGE(F43:F44)</f>
        <v>64.265964245714287</v>
      </c>
      <c r="G45" s="1" t="e">
        <f t="shared" si="17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32</v>
      </c>
      <c r="B47" s="1"/>
      <c r="C47" s="1"/>
      <c r="D47" s="1"/>
      <c r="E47" s="1"/>
      <c r="F47" s="1"/>
      <c r="G47" s="1"/>
    </row>
    <row r="48" spans="1:7" x14ac:dyDescent="0.25">
      <c r="A48" s="2" t="s">
        <v>33</v>
      </c>
      <c r="B48" s="1">
        <f>B11/B12*100</f>
        <v>32.713898567557102</v>
      </c>
      <c r="C48" s="1">
        <f>C11/C12*100</f>
        <v>17.647058823529413</v>
      </c>
      <c r="D48" s="1">
        <f t="shared" ref="D48:E48" si="19">D11/D12*100</f>
        <v>5.3333333333333339</v>
      </c>
      <c r="E48" s="1">
        <f t="shared" si="19"/>
        <v>24.577861163227016</v>
      </c>
      <c r="F48" s="1">
        <f t="shared" ref="F48:G48" si="20">F11/F12*100</f>
        <v>39.885714285714286</v>
      </c>
      <c r="G48" s="1" t="e">
        <f t="shared" si="20"/>
        <v>#DIV/0!</v>
      </c>
    </row>
    <row r="49" spans="1:7" x14ac:dyDescent="0.25">
      <c r="A49" s="2" t="s">
        <v>34</v>
      </c>
      <c r="B49" s="1">
        <f>B17/B18*100</f>
        <v>17.945012893411523</v>
      </c>
      <c r="C49" s="1">
        <f t="shared" ref="C49:G49" si="21">C17/C18*100</f>
        <v>16.914962942777112</v>
      </c>
      <c r="D49" s="1">
        <f t="shared" ref="D49:E49" si="22">D17/D18*100</f>
        <v>0</v>
      </c>
      <c r="E49" s="1">
        <f t="shared" si="22"/>
        <v>26.435579983739839</v>
      </c>
      <c r="F49" s="1">
        <f t="shared" si="21"/>
        <v>24.38024996</v>
      </c>
      <c r="G49" s="1" t="e">
        <f t="shared" si="21"/>
        <v>#DIV/0!</v>
      </c>
    </row>
    <row r="50" spans="1:7" x14ac:dyDescent="0.25">
      <c r="A50" s="2" t="s">
        <v>35</v>
      </c>
      <c r="B50" s="1">
        <f>AVERAGE(B48:B49)</f>
        <v>25.329455730484312</v>
      </c>
      <c r="C50" s="1">
        <f t="shared" ref="C50:G50" si="23">AVERAGE(C48:C49)</f>
        <v>17.281010883153265</v>
      </c>
      <c r="D50" s="1">
        <f t="shared" ref="D50:E50" si="24">AVERAGE(D48:D49)</f>
        <v>2.666666666666667</v>
      </c>
      <c r="E50" s="1">
        <f t="shared" si="24"/>
        <v>25.506720573483427</v>
      </c>
      <c r="F50" s="1">
        <f t="shared" si="23"/>
        <v>32.132982122857143</v>
      </c>
      <c r="G50" s="1" t="e">
        <f t="shared" si="23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36</v>
      </c>
      <c r="B52" s="1"/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37</v>
      </c>
      <c r="B54" s="1"/>
      <c r="C54" s="1"/>
      <c r="D54" s="1"/>
      <c r="E54" s="1"/>
      <c r="F54" s="1"/>
      <c r="G54" s="1"/>
    </row>
    <row r="55" spans="1:7" x14ac:dyDescent="0.25">
      <c r="A55" s="2" t="s">
        <v>38</v>
      </c>
      <c r="B55" s="1">
        <f>((B11/B9)-1)*100</f>
        <v>34.984025559105426</v>
      </c>
      <c r="C55" s="1">
        <f t="shared" ref="C55:E55" si="25">((C11/C9)-1)*100</f>
        <v>-76.517571884984022</v>
      </c>
      <c r="D55" s="1">
        <f t="shared" si="25"/>
        <v>-94.904458598726109</v>
      </c>
      <c r="E55" s="1">
        <f t="shared" si="25"/>
        <v>-58.012820512820504</v>
      </c>
      <c r="F55" s="1" t="e">
        <f>((F11/F9)-1)*100</f>
        <v>#DIV/0!</v>
      </c>
      <c r="G55" s="1" t="e">
        <f>((G11/G9)-1)*100</f>
        <v>#DIV/0!</v>
      </c>
    </row>
    <row r="56" spans="1:7" x14ac:dyDescent="0.25">
      <c r="A56" s="2" t="s">
        <v>39</v>
      </c>
      <c r="B56" s="1">
        <f>((B32/B31)-1)*100</f>
        <v>-74.920918633596827</v>
      </c>
      <c r="C56" s="1">
        <f>((C32/C31)-1)*100</f>
        <v>-78.552589060584694</v>
      </c>
      <c r="D56" s="1">
        <f t="shared" ref="D56:E56" si="26">((D32/D31)-1)*100</f>
        <v>-100</v>
      </c>
      <c r="E56" s="1">
        <f t="shared" si="26"/>
        <v>-53.070857039146802</v>
      </c>
      <c r="F56" s="1">
        <f t="shared" ref="F56:G56" si="27">((F32/F31)-1)*100</f>
        <v>-5.732917314529562</v>
      </c>
      <c r="G56" s="1" t="e">
        <f t="shared" si="27"/>
        <v>#DIV/0!</v>
      </c>
    </row>
    <row r="57" spans="1:7" x14ac:dyDescent="0.25">
      <c r="A57" s="2" t="s">
        <v>40</v>
      </c>
      <c r="B57" s="1">
        <f>((B34/B33)-1)*100</f>
        <v>-81.420704218498955</v>
      </c>
      <c r="C57" s="1">
        <f t="shared" ref="C57:G57" si="28">((C34/C33)-1)*100</f>
        <v>-8.6661275641225615</v>
      </c>
      <c r="D57" s="1">
        <f t="shared" ref="D57:E57" si="29">((D34/D33)-1)*100</f>
        <v>-100</v>
      </c>
      <c r="E57" s="1">
        <f t="shared" si="29"/>
        <v>11.770172547986268</v>
      </c>
      <c r="F57" s="1" t="e">
        <f t="shared" si="28"/>
        <v>#DIV/0!</v>
      </c>
      <c r="G57" s="1" t="e">
        <f t="shared" si="28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41</v>
      </c>
      <c r="B59" s="1"/>
      <c r="C59" s="1"/>
      <c r="D59" s="1"/>
      <c r="E59" s="1"/>
      <c r="F59" s="1"/>
      <c r="G59" s="1"/>
    </row>
    <row r="60" spans="1:7" x14ac:dyDescent="0.25">
      <c r="A60" s="2" t="s">
        <v>168</v>
      </c>
      <c r="B60" s="5">
        <f>B16/(B10*6)</f>
        <v>85570.924871168972</v>
      </c>
      <c r="C60" s="5">
        <f t="shared" ref="C60:G60" si="30">C16/(C10*6)</f>
        <v>250000</v>
      </c>
      <c r="D60" s="5">
        <f t="shared" si="30"/>
        <v>250000</v>
      </c>
      <c r="E60" s="5">
        <f t="shared" si="30"/>
        <v>250000</v>
      </c>
      <c r="F60" s="5">
        <f t="shared" si="30"/>
        <v>19047.619047619046</v>
      </c>
      <c r="G60" s="5" t="e">
        <f t="shared" si="30"/>
        <v>#DIV/0!</v>
      </c>
    </row>
    <row r="61" spans="1:7" x14ac:dyDescent="0.25">
      <c r="A61" s="2" t="s">
        <v>169</v>
      </c>
      <c r="B61" s="5">
        <f>B17/(B11*6)</f>
        <v>51304.331733727806</v>
      </c>
      <c r="C61" s="5">
        <f t="shared" ref="C61:G61" si="31">C17/(C11*6)</f>
        <v>239628.64168934239</v>
      </c>
      <c r="D61" s="5">
        <f t="shared" si="31"/>
        <v>0</v>
      </c>
      <c r="E61" s="5">
        <f t="shared" si="31"/>
        <v>268896.26204834605</v>
      </c>
      <c r="F61" s="5">
        <f t="shared" si="31"/>
        <v>11642.908290353391</v>
      </c>
      <c r="G61" s="5" t="e">
        <f t="shared" si="31"/>
        <v>#DIV/0!</v>
      </c>
    </row>
    <row r="62" spans="1:7" x14ac:dyDescent="0.25">
      <c r="A62" s="2" t="s">
        <v>42</v>
      </c>
      <c r="B62" s="1">
        <f>(B60/B61)*B45</f>
        <v>91.716134328510662</v>
      </c>
      <c r="C62" s="1">
        <f t="shared" ref="C62:G62" si="32">(C60/C61)*C45</f>
        <v>42.424053887247922</v>
      </c>
      <c r="D62" s="1" t="e">
        <f t="shared" ref="D62:E62" si="33">(D60/D61)*D45</f>
        <v>#DIV/0!</v>
      </c>
      <c r="E62" s="1">
        <f t="shared" si="33"/>
        <v>51.590649175977852</v>
      </c>
      <c r="F62" s="1">
        <f t="shared" si="32"/>
        <v>105.13812993738844</v>
      </c>
      <c r="G62" s="1" t="e">
        <f t="shared" si="32"/>
        <v>#DIV/0!</v>
      </c>
    </row>
    <row r="63" spans="1:7" x14ac:dyDescent="0.25">
      <c r="A63" s="2" t="s">
        <v>170</v>
      </c>
      <c r="B63" s="5">
        <f>B16/B10</f>
        <v>513425.54922701383</v>
      </c>
      <c r="C63" s="5">
        <f t="shared" ref="C63:G63" si="34">C16/C10</f>
        <v>1500000</v>
      </c>
      <c r="D63" s="5">
        <f t="shared" si="34"/>
        <v>1500000</v>
      </c>
      <c r="E63" s="5">
        <f t="shared" si="34"/>
        <v>1500000</v>
      </c>
      <c r="F63" s="5">
        <f t="shared" si="34"/>
        <v>114285.71428571429</v>
      </c>
      <c r="G63" s="5" t="e">
        <f t="shared" si="34"/>
        <v>#DIV/0!</v>
      </c>
    </row>
    <row r="64" spans="1:7" x14ac:dyDescent="0.25">
      <c r="A64" s="2" t="s">
        <v>171</v>
      </c>
      <c r="B64" s="5">
        <f>B17/B11</f>
        <v>307825.99040236685</v>
      </c>
      <c r="C64" s="5">
        <f t="shared" ref="C64:G64" si="35">C17/C11</f>
        <v>1437771.8501360544</v>
      </c>
      <c r="D64" s="5">
        <f t="shared" si="35"/>
        <v>0</v>
      </c>
      <c r="E64" s="5">
        <f t="shared" si="35"/>
        <v>1613377.5722900764</v>
      </c>
      <c r="F64" s="5">
        <f t="shared" si="35"/>
        <v>69857.449742120341</v>
      </c>
      <c r="G64" s="5" t="e">
        <f t="shared" si="35"/>
        <v>#DIV/0!</v>
      </c>
    </row>
    <row r="65" spans="1:7" x14ac:dyDescent="0.25">
      <c r="B65" s="1"/>
      <c r="C65" s="1"/>
      <c r="D65" s="1"/>
      <c r="E65" s="1"/>
      <c r="F65" s="1"/>
      <c r="G65" s="1"/>
    </row>
    <row r="66" spans="1:7" x14ac:dyDescent="0.25">
      <c r="A66" s="2" t="s">
        <v>43</v>
      </c>
      <c r="B66" s="1"/>
      <c r="C66" s="1"/>
      <c r="D66" s="1"/>
      <c r="E66" s="1"/>
      <c r="F66" s="1"/>
      <c r="G66" s="1"/>
    </row>
    <row r="67" spans="1:7" x14ac:dyDescent="0.25">
      <c r="A67" s="2" t="s">
        <v>44</v>
      </c>
      <c r="B67" s="1">
        <f>(B23/B22)*100</f>
        <v>304.72741679873218</v>
      </c>
      <c r="C67" s="1"/>
      <c r="D67" s="1">
        <f>(D23/D22)*100</f>
        <v>0</v>
      </c>
      <c r="E67" s="1">
        <f>(E23/(E22+F22))*100</f>
        <v>0</v>
      </c>
      <c r="F67" s="1"/>
      <c r="G67" s="1"/>
    </row>
    <row r="68" spans="1:7" x14ac:dyDescent="0.25">
      <c r="A68" s="2" t="s">
        <v>45</v>
      </c>
      <c r="B68" s="1">
        <f>(B17/B23)*100</f>
        <v>13.527610963527717</v>
      </c>
      <c r="C68" s="1"/>
      <c r="D68" s="1" t="e">
        <f t="shared" ref="D68" si="36">(D17/D23)*100</f>
        <v>#DIV/0!</v>
      </c>
      <c r="E68" s="1" t="e">
        <f>((E17+F17)/E23)*100</f>
        <v>#DIV/0!</v>
      </c>
      <c r="F68" s="1"/>
      <c r="G68" s="1"/>
    </row>
    <row r="69" spans="1:7" x14ac:dyDescent="0.25">
      <c r="B69" s="1"/>
      <c r="C69" s="1"/>
      <c r="D69" s="1"/>
      <c r="E69" s="1"/>
      <c r="F69" s="1"/>
      <c r="G69" s="1"/>
    </row>
    <row r="70" spans="1:7" ht="15.75" thickBot="1" x14ac:dyDescent="0.3">
      <c r="A70" s="34"/>
      <c r="B70" s="34"/>
      <c r="C70" s="34"/>
      <c r="D70" s="34"/>
      <c r="E70" s="34"/>
      <c r="F70" s="34"/>
      <c r="G70" s="34"/>
    </row>
    <row r="71" spans="1:7" ht="15.75" thickTop="1" x14ac:dyDescent="0.25"/>
    <row r="72" spans="1:7" x14ac:dyDescent="0.25">
      <c r="A72" s="2" t="s">
        <v>138</v>
      </c>
    </row>
    <row r="73" spans="1:7" x14ac:dyDescent="0.25">
      <c r="A73" s="2" t="s">
        <v>134</v>
      </c>
    </row>
    <row r="74" spans="1:7" x14ac:dyDescent="0.25">
      <c r="A74" s="2" t="s">
        <v>139</v>
      </c>
    </row>
    <row r="75" spans="1:7" x14ac:dyDescent="0.25">
      <c r="A75" s="2" t="s">
        <v>157</v>
      </c>
    </row>
    <row r="77" spans="1:7" x14ac:dyDescent="0.25">
      <c r="A77" s="2" t="s">
        <v>151</v>
      </c>
    </row>
    <row r="78" spans="1:7" x14ac:dyDescent="0.25">
      <c r="A78" s="2" t="s">
        <v>152</v>
      </c>
    </row>
    <row r="79" spans="1:7" x14ac:dyDescent="0.25">
      <c r="A79" s="2" t="s">
        <v>153</v>
      </c>
    </row>
    <row r="80" spans="1:7" x14ac:dyDescent="0.25">
      <c r="A80" s="2" t="s">
        <v>154</v>
      </c>
    </row>
    <row r="81" spans="1:1" x14ac:dyDescent="0.25">
      <c r="A81" s="2" t="s">
        <v>155</v>
      </c>
    </row>
    <row r="82" spans="1:1" x14ac:dyDescent="0.25">
      <c r="A82" s="2" t="s">
        <v>165</v>
      </c>
    </row>
    <row r="83" spans="1:1" x14ac:dyDescent="0.25">
      <c r="A83" s="39" t="s">
        <v>166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64" workbookViewId="0">
      <selection activeCell="B67" sqref="B67:E68"/>
    </sheetView>
  </sheetViews>
  <sheetFormatPr baseColWidth="10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77" t="s">
        <v>163</v>
      </c>
      <c r="B1" s="77"/>
      <c r="C1" s="77"/>
      <c r="D1" s="77"/>
      <c r="E1" s="77"/>
      <c r="F1" s="77"/>
      <c r="G1" s="77"/>
    </row>
    <row r="3" spans="1:7" x14ac:dyDescent="0.25">
      <c r="A3" s="80" t="s">
        <v>0</v>
      </c>
      <c r="B3" s="75" t="s">
        <v>46</v>
      </c>
      <c r="C3" s="78" t="s">
        <v>2</v>
      </c>
      <c r="D3" s="78"/>
      <c r="E3" s="78"/>
      <c r="F3" s="78"/>
      <c r="G3" s="78"/>
    </row>
    <row r="4" spans="1:7" ht="15.75" thickBot="1" x14ac:dyDescent="0.3">
      <c r="A4" s="81"/>
      <c r="B4" s="83"/>
      <c r="C4" s="79" t="s">
        <v>3</v>
      </c>
      <c r="D4" s="79"/>
      <c r="E4" s="79"/>
      <c r="F4" s="75" t="s">
        <v>4</v>
      </c>
      <c r="G4" s="75" t="s">
        <v>5</v>
      </c>
    </row>
    <row r="5" spans="1:7" ht="16.5" thickTop="1" thickBot="1" x14ac:dyDescent="0.3">
      <c r="A5" s="82"/>
      <c r="B5" s="76"/>
      <c r="C5" s="35" t="s">
        <v>1</v>
      </c>
      <c r="D5" s="35" t="s">
        <v>135</v>
      </c>
      <c r="E5" s="35" t="s">
        <v>137</v>
      </c>
      <c r="F5" s="76"/>
      <c r="G5" s="76"/>
    </row>
    <row r="6" spans="1:7" ht="15.75" thickTop="1" x14ac:dyDescent="0.25">
      <c r="A6" s="36"/>
      <c r="B6" s="37"/>
      <c r="C6" s="38"/>
      <c r="D6" s="38"/>
      <c r="E6" s="38"/>
      <c r="F6" s="37"/>
      <c r="G6" s="37"/>
    </row>
    <row r="7" spans="1:7" x14ac:dyDescent="0.25">
      <c r="A7" s="4" t="s">
        <v>6</v>
      </c>
    </row>
    <row r="8" spans="1:7" x14ac:dyDescent="0.25">
      <c r="A8" s="2" t="s">
        <v>7</v>
      </c>
    </row>
    <row r="9" spans="1:7" x14ac:dyDescent="0.25">
      <c r="A9" s="2" t="s">
        <v>93</v>
      </c>
      <c r="B9" s="5">
        <f>C9+F9+G9</f>
        <v>908</v>
      </c>
      <c r="C9" s="5">
        <f>'I trimestre'!C9+'II Trimestre'!C9+'III Trimestre'!C9</f>
        <v>908</v>
      </c>
      <c r="D9" s="5">
        <f>'I trimestre'!D9+'II Trimestre'!D9+'III Trimestre'!D9</f>
        <v>365</v>
      </c>
      <c r="E9" s="5">
        <f>'I trimestre'!E9+'II Trimestre'!E9+'III Trimestre'!E9</f>
        <v>543</v>
      </c>
      <c r="F9" s="42">
        <v>0</v>
      </c>
      <c r="G9" s="5">
        <f>'I trimestre'!G9+'II Trimestre'!G9+'III Trimestre'!G9+'IV Trimestre'!G9</f>
        <v>0</v>
      </c>
    </row>
    <row r="10" spans="1:7" x14ac:dyDescent="0.25">
      <c r="A10" s="2" t="s">
        <v>94</v>
      </c>
      <c r="B10" s="5">
        <f t="shared" ref="B10:B12" si="0">C10+F10+G10</f>
        <v>2042</v>
      </c>
      <c r="C10" s="5">
        <f>'I trimestre'!C10+'II Trimestre'!C10+'III Trimestre'!C10</f>
        <v>642</v>
      </c>
      <c r="D10" s="5">
        <f>'I trimestre'!D10+'II Trimestre'!D10+'III Trimestre'!D10</f>
        <v>109</v>
      </c>
      <c r="E10" s="5">
        <f>'I trimestre'!E10+'II Trimestre'!E10+'III Trimestre'!E10</f>
        <v>533</v>
      </c>
      <c r="F10" s="5">
        <f>'I trimestre'!F10+'II Trimestre'!F10+'III Trimestre'!F10</f>
        <v>1400</v>
      </c>
      <c r="G10" s="5">
        <v>0</v>
      </c>
    </row>
    <row r="11" spans="1:7" x14ac:dyDescent="0.25">
      <c r="A11" s="2" t="s">
        <v>95</v>
      </c>
      <c r="B11" s="5">
        <f t="shared" si="0"/>
        <v>1812</v>
      </c>
      <c r="C11" s="5">
        <f>'I trimestre'!C11+'II Trimestre'!C11+'III Trimestre'!C11</f>
        <v>273</v>
      </c>
      <c r="D11" s="5">
        <f>'I trimestre'!D11+'II Trimestre'!D11+'III Trimestre'!D11</f>
        <v>16</v>
      </c>
      <c r="E11" s="5">
        <f>'I trimestre'!E11+'II Trimestre'!E11+'III Trimestre'!E11</f>
        <v>257</v>
      </c>
      <c r="F11" s="5">
        <f>'I trimestre'!F11+'II Trimestre'!F11+'III Trimestre'!F11</f>
        <v>1539</v>
      </c>
      <c r="G11" s="5">
        <f>'I trimestre'!G11+'II Trimestre'!G11+'III Trimestre'!G11+'IV Trimestre'!G11</f>
        <v>0</v>
      </c>
    </row>
    <row r="12" spans="1:7" x14ac:dyDescent="0.25">
      <c r="A12" s="2" t="s">
        <v>11</v>
      </c>
      <c r="B12" s="5">
        <f t="shared" si="0"/>
        <v>2583</v>
      </c>
      <c r="C12" s="5">
        <f t="shared" ref="C12" si="1">D12+E12</f>
        <v>833</v>
      </c>
      <c r="D12" s="5">
        <v>300</v>
      </c>
      <c r="E12" s="5">
        <v>533</v>
      </c>
      <c r="F12" s="5">
        <v>1750</v>
      </c>
      <c r="G12" s="5">
        <v>0</v>
      </c>
    </row>
    <row r="13" spans="1:7" x14ac:dyDescent="0.25">
      <c r="B13" s="1"/>
      <c r="C13" s="1"/>
      <c r="D13" s="1"/>
      <c r="E13" s="1"/>
      <c r="F13" s="1"/>
      <c r="G13" s="1"/>
    </row>
    <row r="14" spans="1:7" x14ac:dyDescent="0.25">
      <c r="A14" s="2" t="s">
        <v>12</v>
      </c>
      <c r="B14" s="1"/>
      <c r="C14" s="1"/>
      <c r="D14" s="1"/>
      <c r="E14" s="1"/>
      <c r="F14" s="1"/>
      <c r="G14" s="1"/>
    </row>
    <row r="15" spans="1:7" x14ac:dyDescent="0.25">
      <c r="A15" s="2" t="s">
        <v>96</v>
      </c>
      <c r="B15" s="5">
        <f t="shared" ref="B15:B17" si="2">C15+F15+G15</f>
        <v>1468805795.5899999</v>
      </c>
      <c r="C15" s="5">
        <f>'I trimestre'!C15+'II Trimestre'!C15+'III Trimestre'!C15</f>
        <v>1380345795.5899999</v>
      </c>
      <c r="D15" s="5">
        <f>'I trimestre'!D15+'II Trimestre'!D15+'III Trimestre'!D15</f>
        <v>594692117.58999991</v>
      </c>
      <c r="E15" s="5">
        <f>'I trimestre'!E15+'II Trimestre'!E15+'III Trimestre'!E15</f>
        <v>785653678</v>
      </c>
      <c r="F15" s="5">
        <f>'I trimestre'!F15+'II Trimestre'!F15+'III Trimestre'!F15</f>
        <v>88460000</v>
      </c>
      <c r="G15" s="5">
        <f>'I trimestre'!G15+'II Trimestre'!G15+'III Trimestre'!G15</f>
        <v>0</v>
      </c>
    </row>
    <row r="16" spans="1:7" x14ac:dyDescent="0.25">
      <c r="A16" s="2" t="s">
        <v>94</v>
      </c>
      <c r="B16" s="5">
        <f t="shared" si="2"/>
        <v>1123000000</v>
      </c>
      <c r="C16" s="5">
        <f>'I trimestre'!C16+'II Trimestre'!C16+'III Trimestre'!C16</f>
        <v>963000000</v>
      </c>
      <c r="D16" s="5">
        <f>'I trimestre'!D16+'II Trimestre'!D16+'III Trimestre'!D16</f>
        <v>163500000</v>
      </c>
      <c r="E16" s="5">
        <f>'I trimestre'!E16+'II Trimestre'!E16+'III Trimestre'!E16</f>
        <v>799500000</v>
      </c>
      <c r="F16" s="5">
        <f>'I trimestre'!F16+'II Trimestre'!F16+'III Trimestre'!F16</f>
        <v>160000000</v>
      </c>
      <c r="G16" s="5">
        <f>'I trimestre'!G16+'II Trimestre'!G16+'III Trimestre'!G16</f>
        <v>0</v>
      </c>
    </row>
    <row r="17" spans="1:7" x14ac:dyDescent="0.25">
      <c r="A17" s="2" t="s">
        <v>95</v>
      </c>
      <c r="B17" s="5">
        <f t="shared" si="2"/>
        <v>548443729.88999999</v>
      </c>
      <c r="C17" s="5">
        <f>'I trimestre'!C17+'II Trimestre'!C17+'III Trimestre'!C17</f>
        <v>436885461.97000003</v>
      </c>
      <c r="D17" s="5">
        <f>'I trimestre'!D17+'II Trimestre'!D17+'III Trimestre'!D17</f>
        <v>0</v>
      </c>
      <c r="E17" s="5">
        <f>'I trimestre'!E17+'II Trimestre'!E17+'III Trimestre'!E17</f>
        <v>436885461.97000003</v>
      </c>
      <c r="F17" s="5">
        <f>'I trimestre'!F17+'II Trimestre'!F17+'III Trimestre'!F17</f>
        <v>111558267.92</v>
      </c>
      <c r="G17" s="5">
        <f>'I trimestre'!G17+'II Trimestre'!G17+'III Trimestre'!G17</f>
        <v>0</v>
      </c>
    </row>
    <row r="18" spans="1:7" x14ac:dyDescent="0.25">
      <c r="A18" s="2" t="s">
        <v>11</v>
      </c>
      <c r="B18" s="5">
        <f>'III Trimestre'!B18</f>
        <v>1449500000</v>
      </c>
      <c r="C18" s="5">
        <f>'III Trimestre'!C18</f>
        <v>1249500000</v>
      </c>
      <c r="D18" s="5">
        <v>450000000</v>
      </c>
      <c r="E18" s="5">
        <v>799500000</v>
      </c>
      <c r="F18" s="11">
        <v>200000000</v>
      </c>
      <c r="G18" s="5">
        <f>'III Trimestre'!G18</f>
        <v>0</v>
      </c>
    </row>
    <row r="19" spans="1:7" x14ac:dyDescent="0.25">
      <c r="A19" s="2" t="s">
        <v>97</v>
      </c>
      <c r="B19" s="5">
        <f>'I trimestre'!B19+'II Trimestre'!B19+'III Trimestre'!B19</f>
        <v>436885461.97000003</v>
      </c>
      <c r="C19" s="5">
        <f>'I trimestre'!C19+'II Trimestre'!C19+'III Trimestre'!C19</f>
        <v>436885461.97000003</v>
      </c>
      <c r="D19" s="5">
        <f>'I trimestre'!D19+'II Trimestre'!D19+'III Trimestre'!D19</f>
        <v>0</v>
      </c>
      <c r="E19" s="5">
        <f>'I trimestre'!E19+'II Trimestre'!E19+'III Trimestre'!E19</f>
        <v>436885461.97000003</v>
      </c>
      <c r="F19" s="5"/>
      <c r="G19" s="5"/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14</v>
      </c>
      <c r="B21" s="1"/>
      <c r="C21" s="1"/>
      <c r="D21" s="1"/>
      <c r="E21" s="1"/>
      <c r="F21" s="1"/>
      <c r="G21" s="1"/>
    </row>
    <row r="22" spans="1:7" x14ac:dyDescent="0.25">
      <c r="A22" s="2" t="s">
        <v>94</v>
      </c>
      <c r="B22" s="5">
        <f>B16</f>
        <v>1123000000</v>
      </c>
      <c r="C22" s="5">
        <f t="shared" ref="C22:G22" si="3">C16</f>
        <v>963000000</v>
      </c>
      <c r="D22" s="5">
        <f t="shared" si="3"/>
        <v>163500000</v>
      </c>
      <c r="E22" s="5">
        <f t="shared" si="3"/>
        <v>799500000</v>
      </c>
      <c r="F22" s="5">
        <f t="shared" si="3"/>
        <v>160000000</v>
      </c>
      <c r="G22" s="5">
        <f t="shared" si="3"/>
        <v>0</v>
      </c>
    </row>
    <row r="23" spans="1:7" x14ac:dyDescent="0.25">
      <c r="A23" s="2" t="s">
        <v>95</v>
      </c>
      <c r="B23" s="5">
        <f>'I trimestre'!B23+'II Trimestre'!B23+'III Trimestre'!B23</f>
        <v>2822830000</v>
      </c>
      <c r="C23" s="5"/>
      <c r="D23" s="5"/>
      <c r="E23" s="5"/>
      <c r="F23" s="5"/>
      <c r="G23" s="5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15</v>
      </c>
      <c r="B25" s="1"/>
      <c r="C25" s="1"/>
      <c r="D25" s="1"/>
      <c r="E25" s="1"/>
      <c r="F25" s="1"/>
      <c r="G25" s="1"/>
    </row>
    <row r="26" spans="1:7" x14ac:dyDescent="0.25">
      <c r="A26" s="2" t="s">
        <v>98</v>
      </c>
      <c r="B26" s="1">
        <v>1.4000346908083336</v>
      </c>
      <c r="C26" s="1">
        <v>1.4000346908083336</v>
      </c>
      <c r="D26" s="1">
        <v>1.4000346908083336</v>
      </c>
      <c r="E26" s="1">
        <v>1.4000346908083336</v>
      </c>
      <c r="F26" s="1">
        <v>1.4000346908083336</v>
      </c>
      <c r="G26" s="1">
        <v>1.4000346908083336</v>
      </c>
    </row>
    <row r="27" spans="1:7" x14ac:dyDescent="0.25">
      <c r="A27" s="2" t="s">
        <v>99</v>
      </c>
      <c r="B27" s="1">
        <v>1.4683304717083334</v>
      </c>
      <c r="C27" s="1">
        <v>1.4683304717083334</v>
      </c>
      <c r="D27" s="1">
        <v>1.4683304717083334</v>
      </c>
      <c r="E27" s="1">
        <v>1.4683304717083334</v>
      </c>
      <c r="F27" s="1">
        <v>1.4683304717083334</v>
      </c>
      <c r="G27" s="1">
        <v>1.4683304717083334</v>
      </c>
    </row>
    <row r="28" spans="1:7" x14ac:dyDescent="0.25">
      <c r="A28" s="2" t="s">
        <v>18</v>
      </c>
      <c r="B28" s="5">
        <v>87955</v>
      </c>
      <c r="C28" s="5">
        <v>87955</v>
      </c>
      <c r="D28" s="5">
        <v>87955</v>
      </c>
      <c r="E28" s="5">
        <v>87955</v>
      </c>
      <c r="F28" s="5">
        <v>87955</v>
      </c>
      <c r="G28" s="5">
        <v>87955</v>
      </c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19</v>
      </c>
      <c r="B30" s="1"/>
      <c r="C30" s="1"/>
      <c r="D30" s="1"/>
      <c r="E30" s="1"/>
      <c r="F30" s="1"/>
      <c r="G30" s="1"/>
    </row>
    <row r="31" spans="1:7" x14ac:dyDescent="0.25">
      <c r="A31" s="2" t="s">
        <v>100</v>
      </c>
      <c r="B31" s="5">
        <f>B15/B26</f>
        <v>1049121000.5246085</v>
      </c>
      <c r="C31" s="5">
        <f t="shared" ref="C31:G31" si="4">C15/C26</f>
        <v>985936851.88831568</v>
      </c>
      <c r="D31" s="5">
        <f t="shared" ref="D31:E31" si="5">D15/D26</f>
        <v>424769558.56475556</v>
      </c>
      <c r="E31" s="5">
        <f t="shared" si="5"/>
        <v>561167293.32356012</v>
      </c>
      <c r="F31" s="5">
        <f t="shared" si="4"/>
        <v>63184148.636292808</v>
      </c>
      <c r="G31" s="5">
        <f t="shared" si="4"/>
        <v>0</v>
      </c>
    </row>
    <row r="32" spans="1:7" x14ac:dyDescent="0.25">
      <c r="A32" s="2" t="s">
        <v>101</v>
      </c>
      <c r="B32" s="5">
        <f>B17/B27</f>
        <v>373515186.43613756</v>
      </c>
      <c r="C32" s="5">
        <f t="shared" ref="C32:G32" si="6">C17/C27</f>
        <v>297538919.46525115</v>
      </c>
      <c r="D32" s="5">
        <f t="shared" ref="D32:E32" si="7">D17/D27</f>
        <v>0</v>
      </c>
      <c r="E32" s="5">
        <f t="shared" si="7"/>
        <v>297538919.46525115</v>
      </c>
      <c r="F32" s="5">
        <f t="shared" si="6"/>
        <v>75976266.970886469</v>
      </c>
      <c r="G32" s="5">
        <f t="shared" si="6"/>
        <v>0</v>
      </c>
    </row>
    <row r="33" spans="1:7" x14ac:dyDescent="0.25">
      <c r="A33" s="2" t="s">
        <v>102</v>
      </c>
      <c r="B33" s="5">
        <f>B31/B9</f>
        <v>1155419.6041019917</v>
      </c>
      <c r="C33" s="5">
        <f t="shared" ref="C33:G33" si="8">C31/C9</f>
        <v>1085833.5373219335</v>
      </c>
      <c r="D33" s="5">
        <f t="shared" ref="D33:E33" si="9">D31/D9</f>
        <v>1163752.2152459056</v>
      </c>
      <c r="E33" s="5">
        <f t="shared" si="9"/>
        <v>1033457.2621060039</v>
      </c>
      <c r="F33" s="5" t="e">
        <f>F31/F9</f>
        <v>#DIV/0!</v>
      </c>
      <c r="G33" s="5" t="e">
        <f t="shared" si="8"/>
        <v>#DIV/0!</v>
      </c>
    </row>
    <row r="34" spans="1:7" x14ac:dyDescent="0.25">
      <c r="A34" s="2" t="s">
        <v>103</v>
      </c>
      <c r="B34" s="5">
        <f>B32/B11</f>
        <v>206134.20884996554</v>
      </c>
      <c r="C34" s="5">
        <f t="shared" ref="C34:F34" si="10">C32/C11</f>
        <v>1089886.1518873668</v>
      </c>
      <c r="D34" s="5">
        <f t="shared" ref="D34:E34" si="11">D32/D11</f>
        <v>0</v>
      </c>
      <c r="E34" s="5">
        <f t="shared" si="11"/>
        <v>1157738.9862461134</v>
      </c>
      <c r="F34" s="5">
        <f t="shared" si="10"/>
        <v>49367.294977833961</v>
      </c>
      <c r="G34" s="5" t="e">
        <f>G32/G11</f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24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25</v>
      </c>
      <c r="B38" s="1"/>
      <c r="C38" s="1"/>
      <c r="D38" s="1"/>
      <c r="E38" s="1"/>
      <c r="F38" s="1"/>
      <c r="G38" s="1"/>
    </row>
    <row r="39" spans="1:7" x14ac:dyDescent="0.25">
      <c r="A39" s="2" t="s">
        <v>26</v>
      </c>
      <c r="B39" s="1">
        <f>B10/B28*100</f>
        <v>2.3216417486214542</v>
      </c>
      <c r="C39" s="1">
        <f>C10/C28*100</f>
        <v>0.72991870843044737</v>
      </c>
      <c r="D39" s="1">
        <f t="shared" ref="D39:E39" si="12">D10/D28*100</f>
        <v>0.12392700812915697</v>
      </c>
      <c r="E39" s="1">
        <f t="shared" si="12"/>
        <v>0.60599170030129035</v>
      </c>
      <c r="F39" s="1">
        <f>F10/F28*100</f>
        <v>1.591723040191007</v>
      </c>
      <c r="G39" s="1">
        <f>G10/G28*100</f>
        <v>0</v>
      </c>
    </row>
    <row r="40" spans="1:7" x14ac:dyDescent="0.25">
      <c r="A40" s="2" t="s">
        <v>27</v>
      </c>
      <c r="B40" s="1">
        <f>B11/B28*100</f>
        <v>2.0601443920186457</v>
      </c>
      <c r="C40" s="1">
        <f>C11/C28*100</f>
        <v>0.31038599283724633</v>
      </c>
      <c r="D40" s="1">
        <f t="shared" ref="D40:E40" si="13">D11/D28*100</f>
        <v>1.8191120459325791E-2</v>
      </c>
      <c r="E40" s="1">
        <f t="shared" si="13"/>
        <v>0.29219487237792052</v>
      </c>
      <c r="F40" s="1">
        <f>F11/F28*100</f>
        <v>1.7497583991813996</v>
      </c>
      <c r="G40" s="1">
        <f>G11/G28*100</f>
        <v>0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28</v>
      </c>
      <c r="B42" s="1"/>
      <c r="C42" s="1"/>
      <c r="D42" s="1"/>
      <c r="E42" s="1"/>
      <c r="F42" s="1"/>
      <c r="G42" s="1"/>
    </row>
    <row r="43" spans="1:7" x14ac:dyDescent="0.25">
      <c r="A43" s="2" t="s">
        <v>29</v>
      </c>
      <c r="B43" s="1">
        <f>B11/B10*100</f>
        <v>88.736532810969635</v>
      </c>
      <c r="C43" s="1">
        <f>C11/C10*100</f>
        <v>42.523364485981304</v>
      </c>
      <c r="D43" s="1">
        <f t="shared" ref="D43:E43" si="14">D11/D10*100</f>
        <v>14.678899082568808</v>
      </c>
      <c r="E43" s="1">
        <f t="shared" si="14"/>
        <v>48.217636022514071</v>
      </c>
      <c r="F43" s="1">
        <f t="shared" ref="F43" si="15">F11/F10*100</f>
        <v>109.92857142857142</v>
      </c>
      <c r="G43" s="1" t="e">
        <f>G11/G10*100</f>
        <v>#DIV/0!</v>
      </c>
    </row>
    <row r="44" spans="1:7" x14ac:dyDescent="0.25">
      <c r="A44" s="2" t="s">
        <v>30</v>
      </c>
      <c r="B44" s="1">
        <f>B17/B16*100</f>
        <v>48.83737576936776</v>
      </c>
      <c r="C44" s="1">
        <f t="shared" ref="C44:G44" si="16">C17/C16*100</f>
        <v>45.367130007268955</v>
      </c>
      <c r="D44" s="1">
        <f t="shared" ref="D44:E44" si="17">D17/D16*100</f>
        <v>0</v>
      </c>
      <c r="E44" s="1">
        <f t="shared" si="17"/>
        <v>54.644835768605382</v>
      </c>
      <c r="F44" s="1">
        <f t="shared" si="16"/>
        <v>69.723917450000002</v>
      </c>
      <c r="G44" s="1" t="e">
        <f t="shared" si="16"/>
        <v>#DIV/0!</v>
      </c>
    </row>
    <row r="45" spans="1:7" x14ac:dyDescent="0.25">
      <c r="A45" s="2" t="s">
        <v>31</v>
      </c>
      <c r="B45" s="1">
        <f>AVERAGE(B43:B44)</f>
        <v>68.786954290168694</v>
      </c>
      <c r="C45" s="1">
        <f t="shared" ref="C45:G45" si="18">AVERAGE(C43:C44)</f>
        <v>43.945247246625129</v>
      </c>
      <c r="D45" s="1">
        <f t="shared" ref="D45:E45" si="19">AVERAGE(D43:D44)</f>
        <v>7.3394495412844041</v>
      </c>
      <c r="E45" s="1">
        <f t="shared" si="19"/>
        <v>51.431235895559723</v>
      </c>
      <c r="F45" s="1">
        <f>AVERAGE(F43:F44)</f>
        <v>89.826244439285716</v>
      </c>
      <c r="G45" s="1" t="e">
        <f t="shared" si="18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32</v>
      </c>
      <c r="B47" s="1"/>
      <c r="C47" s="1"/>
      <c r="D47" s="1"/>
      <c r="E47" s="1"/>
      <c r="F47" s="1"/>
      <c r="G47" s="1"/>
    </row>
    <row r="48" spans="1:7" x14ac:dyDescent="0.25">
      <c r="A48" s="2" t="s">
        <v>33</v>
      </c>
      <c r="B48" s="1">
        <f>B11/B12*100</f>
        <v>70.150987224157959</v>
      </c>
      <c r="C48" s="1">
        <f>C11/C12*100</f>
        <v>32.773109243697476</v>
      </c>
      <c r="D48" s="1">
        <f t="shared" ref="D48:E48" si="20">D11/D12*100</f>
        <v>5.3333333333333339</v>
      </c>
      <c r="E48" s="1">
        <f t="shared" si="20"/>
        <v>48.217636022514071</v>
      </c>
      <c r="F48" s="1">
        <f t="shared" ref="F48:G48" si="21">F11/F12*100</f>
        <v>87.94285714285715</v>
      </c>
      <c r="G48" s="1" t="e">
        <f t="shared" si="21"/>
        <v>#DIV/0!</v>
      </c>
    </row>
    <row r="49" spans="1:7" x14ac:dyDescent="0.25">
      <c r="A49" s="2" t="s">
        <v>34</v>
      </c>
      <c r="B49" s="1">
        <f>B17/B18*100</f>
        <v>37.836752665746808</v>
      </c>
      <c r="C49" s="1">
        <f t="shared" ref="C49:G49" si="22">C17/C18*100</f>
        <v>34.964822886754703</v>
      </c>
      <c r="D49" s="1">
        <f t="shared" ref="D49:E49" si="23">D17/D18*100</f>
        <v>0</v>
      </c>
      <c r="E49" s="1">
        <f t="shared" si="23"/>
        <v>54.644835768605382</v>
      </c>
      <c r="F49" s="1">
        <f t="shared" si="22"/>
        <v>55.779133960000003</v>
      </c>
      <c r="G49" s="1" t="e">
        <f t="shared" si="22"/>
        <v>#DIV/0!</v>
      </c>
    </row>
    <row r="50" spans="1:7" x14ac:dyDescent="0.25">
      <c r="A50" s="2" t="s">
        <v>35</v>
      </c>
      <c r="B50" s="1">
        <f>AVERAGE(B48:B49)</f>
        <v>53.99386994495238</v>
      </c>
      <c r="C50" s="1">
        <f t="shared" ref="C50:G50" si="24">AVERAGE(C48:C49)</f>
        <v>33.86896606522609</v>
      </c>
      <c r="D50" s="1">
        <f t="shared" ref="D50:E50" si="25">AVERAGE(D48:D49)</f>
        <v>2.666666666666667</v>
      </c>
      <c r="E50" s="1">
        <f t="shared" si="25"/>
        <v>51.431235895559723</v>
      </c>
      <c r="F50" s="1">
        <f t="shared" si="24"/>
        <v>71.860995551428573</v>
      </c>
      <c r="G50" s="1" t="e">
        <f t="shared" si="24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36</v>
      </c>
      <c r="B52" s="1"/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37</v>
      </c>
      <c r="B54" s="1"/>
      <c r="C54" s="1"/>
      <c r="D54" s="1"/>
      <c r="E54" s="1"/>
      <c r="F54" s="1"/>
      <c r="G54" s="1"/>
    </row>
    <row r="55" spans="1:7" x14ac:dyDescent="0.25">
      <c r="A55" s="2" t="s">
        <v>38</v>
      </c>
      <c r="B55" s="1">
        <f>((B11/B9)-1)*100</f>
        <v>99.559471365638757</v>
      </c>
      <c r="C55" s="1">
        <f t="shared" ref="C55:E55" si="26">((C11/C9)-1)*100</f>
        <v>-69.933920704845804</v>
      </c>
      <c r="D55" s="1">
        <f t="shared" si="26"/>
        <v>-95.61643835616438</v>
      </c>
      <c r="E55" s="1">
        <f t="shared" si="26"/>
        <v>-52.670349907918968</v>
      </c>
      <c r="F55" s="1" t="e">
        <f>((F11/F9)-1)*100</f>
        <v>#DIV/0!</v>
      </c>
      <c r="G55" s="1" t="e">
        <f>((G11/G9)-1)*100</f>
        <v>#DIV/0!</v>
      </c>
    </row>
    <row r="56" spans="1:7" x14ac:dyDescent="0.25">
      <c r="A56" s="2" t="s">
        <v>39</v>
      </c>
      <c r="B56" s="1">
        <f>((B32/B31)-1)*100</f>
        <v>-64.397320590345359</v>
      </c>
      <c r="C56" s="1">
        <f>((C32/C31)-1)*100</f>
        <v>-69.82170623854968</v>
      </c>
      <c r="D56" s="1">
        <f t="shared" ref="D56:E56" si="27">((D32/D31)-1)*100</f>
        <v>-100</v>
      </c>
      <c r="E56" s="1">
        <f t="shared" si="27"/>
        <v>-46.978570739030054</v>
      </c>
      <c r="F56" s="1">
        <f t="shared" ref="F56:G56" si="28">((F32/F31)-1)*100</f>
        <v>20.245771464341455</v>
      </c>
      <c r="G56" s="1" t="e">
        <f t="shared" si="28"/>
        <v>#DIV/0!</v>
      </c>
    </row>
    <row r="57" spans="1:7" x14ac:dyDescent="0.25">
      <c r="A57" s="2" t="s">
        <v>40</v>
      </c>
      <c r="B57" s="1">
        <f>((B34/B33)-1)*100</f>
        <v>-82.159363739532893</v>
      </c>
      <c r="C57" s="1">
        <f t="shared" ref="C57:G57" si="29">((C34/C33)-1)*100</f>
        <v>0.37322613698491658</v>
      </c>
      <c r="D57" s="1">
        <f t="shared" ref="D57:E57" si="30">((D34/D33)-1)*100</f>
        <v>-100</v>
      </c>
      <c r="E57" s="1">
        <f t="shared" si="30"/>
        <v>12.025821356835319</v>
      </c>
      <c r="F57" s="1" t="e">
        <f t="shared" si="29"/>
        <v>#DIV/0!</v>
      </c>
      <c r="G57" s="1" t="e">
        <f t="shared" si="29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41</v>
      </c>
      <c r="B59" s="1"/>
      <c r="C59" s="1"/>
      <c r="D59" s="1"/>
      <c r="E59" s="1"/>
      <c r="F59" s="1"/>
      <c r="G59" s="1"/>
    </row>
    <row r="60" spans="1:7" x14ac:dyDescent="0.25">
      <c r="A60" s="2" t="s">
        <v>168</v>
      </c>
      <c r="B60" s="5">
        <f>B16/(B10*9)</f>
        <v>61105.669822613992</v>
      </c>
      <c r="C60" s="5">
        <f t="shared" ref="C60:G60" si="31">C16/(C10*9)</f>
        <v>166666.66666666666</v>
      </c>
      <c r="D60" s="5">
        <f t="shared" si="31"/>
        <v>166666.66666666666</v>
      </c>
      <c r="E60" s="5">
        <f t="shared" si="31"/>
        <v>166666.66666666666</v>
      </c>
      <c r="F60" s="5">
        <f t="shared" si="31"/>
        <v>12698.412698412698</v>
      </c>
      <c r="G60" s="5" t="e">
        <f t="shared" si="31"/>
        <v>#DIV/0!</v>
      </c>
    </row>
    <row r="61" spans="1:7" x14ac:dyDescent="0.25">
      <c r="A61" s="2" t="s">
        <v>169</v>
      </c>
      <c r="B61" s="5">
        <f>B17/(B11*9)</f>
        <v>33630.348901766003</v>
      </c>
      <c r="C61" s="5">
        <f t="shared" ref="C61:G61" si="32">C17/(C11*9)</f>
        <v>177812.56083435085</v>
      </c>
      <c r="D61" s="5">
        <f t="shared" si="32"/>
        <v>0</v>
      </c>
      <c r="E61" s="5">
        <f t="shared" si="32"/>
        <v>188882.60353220926</v>
      </c>
      <c r="F61" s="5">
        <f t="shared" si="32"/>
        <v>8054.167057974154</v>
      </c>
      <c r="G61" s="5" t="e">
        <f t="shared" si="32"/>
        <v>#DIV/0!</v>
      </c>
    </row>
    <row r="62" spans="1:7" x14ac:dyDescent="0.25">
      <c r="A62" s="2" t="s">
        <v>42</v>
      </c>
      <c r="B62" s="1">
        <f>(B60/B61)*B45</f>
        <v>124.98451708711134</v>
      </c>
      <c r="C62" s="1">
        <f t="shared" ref="C62:G62" si="33">(C60/C61)*C45</f>
        <v>41.190610157517</v>
      </c>
      <c r="D62" s="1" t="e">
        <f t="shared" ref="D62:E62" si="34">(D60/D61)*D45</f>
        <v>#DIV/0!</v>
      </c>
      <c r="E62" s="1">
        <f t="shared" si="34"/>
        <v>45.382012366206254</v>
      </c>
      <c r="F62" s="1">
        <f t="shared" si="33"/>
        <v>141.62243157214249</v>
      </c>
      <c r="G62" s="1" t="e">
        <f t="shared" si="33"/>
        <v>#DIV/0!</v>
      </c>
    </row>
    <row r="63" spans="1:7" x14ac:dyDescent="0.25">
      <c r="A63" s="2" t="s">
        <v>170</v>
      </c>
      <c r="B63" s="5">
        <f>B16/B10</f>
        <v>549951.02840352594</v>
      </c>
      <c r="C63" s="5">
        <f t="shared" ref="C63:G63" si="35">C16/C10</f>
        <v>1500000</v>
      </c>
      <c r="D63" s="5">
        <f t="shared" si="35"/>
        <v>1500000</v>
      </c>
      <c r="E63" s="5">
        <f t="shared" si="35"/>
        <v>1500000</v>
      </c>
      <c r="F63" s="5">
        <f t="shared" si="35"/>
        <v>114285.71428571429</v>
      </c>
      <c r="G63" s="5" t="e">
        <f t="shared" si="35"/>
        <v>#DIV/0!</v>
      </c>
    </row>
    <row r="64" spans="1:7" x14ac:dyDescent="0.25">
      <c r="A64" s="2" t="s">
        <v>171</v>
      </c>
      <c r="B64" s="5">
        <f>B17/B11</f>
        <v>302673.14011589403</v>
      </c>
      <c r="C64" s="5">
        <f t="shared" ref="C64:G64" si="36">C17/C11</f>
        <v>1600313.0475091576</v>
      </c>
      <c r="D64" s="5">
        <f t="shared" si="36"/>
        <v>0</v>
      </c>
      <c r="E64" s="5">
        <f t="shared" si="36"/>
        <v>1699943.4317898834</v>
      </c>
      <c r="F64" s="5">
        <f t="shared" si="36"/>
        <v>72487.503521767387</v>
      </c>
      <c r="G64" s="5" t="e">
        <f t="shared" si="36"/>
        <v>#DIV/0!</v>
      </c>
    </row>
    <row r="65" spans="1:7" x14ac:dyDescent="0.25">
      <c r="B65" s="1"/>
      <c r="C65" s="1"/>
      <c r="D65" s="1"/>
      <c r="E65" s="1"/>
      <c r="F65" s="1"/>
      <c r="G65" s="1"/>
    </row>
    <row r="66" spans="1:7" x14ac:dyDescent="0.25">
      <c r="A66" s="2" t="s">
        <v>43</v>
      </c>
      <c r="B66" s="1"/>
      <c r="C66" s="1"/>
      <c r="D66" s="1"/>
      <c r="E66" s="1"/>
      <c r="F66" s="1"/>
      <c r="G66" s="1"/>
    </row>
    <row r="67" spans="1:7" x14ac:dyDescent="0.25">
      <c r="A67" s="2" t="s">
        <v>44</v>
      </c>
      <c r="B67" s="1">
        <f>(B23/B22)*100</f>
        <v>251.36509349955477</v>
      </c>
      <c r="C67" s="1"/>
      <c r="D67" s="1">
        <f>(D23/D22)*100</f>
        <v>0</v>
      </c>
      <c r="E67" s="1">
        <f>(E23/(E22+F22))*100</f>
        <v>0</v>
      </c>
      <c r="F67" s="1"/>
      <c r="G67" s="1"/>
    </row>
    <row r="68" spans="1:7" x14ac:dyDescent="0.25">
      <c r="A68" s="2" t="s">
        <v>45</v>
      </c>
      <c r="B68" s="1">
        <f>(B17/B23)*100</f>
        <v>19.428861457827782</v>
      </c>
      <c r="C68" s="1"/>
      <c r="D68" s="1" t="e">
        <f t="shared" ref="D68" si="37">(D17/D23)*100</f>
        <v>#DIV/0!</v>
      </c>
      <c r="E68" s="1" t="e">
        <f>((E17+F17)/E23)*100</f>
        <v>#DIV/0!</v>
      </c>
      <c r="F68" s="1"/>
      <c r="G68" s="1"/>
    </row>
    <row r="69" spans="1:7" x14ac:dyDescent="0.25">
      <c r="B69" s="1"/>
      <c r="C69" s="1"/>
      <c r="D69" s="1"/>
      <c r="E69" s="1"/>
      <c r="F69" s="1"/>
      <c r="G69" s="1"/>
    </row>
    <row r="70" spans="1:7" ht="15.75" thickBot="1" x14ac:dyDescent="0.3">
      <c r="A70" s="34"/>
      <c r="B70" s="34"/>
      <c r="C70" s="34"/>
      <c r="D70" s="34"/>
      <c r="E70" s="34"/>
      <c r="F70" s="34"/>
      <c r="G70" s="34"/>
    </row>
    <row r="71" spans="1:7" ht="15.75" thickTop="1" x14ac:dyDescent="0.25"/>
    <row r="72" spans="1:7" x14ac:dyDescent="0.25">
      <c r="A72" s="2" t="s">
        <v>138</v>
      </c>
    </row>
    <row r="73" spans="1:7" x14ac:dyDescent="0.25">
      <c r="A73" s="2" t="s">
        <v>134</v>
      </c>
    </row>
    <row r="74" spans="1:7" x14ac:dyDescent="0.25">
      <c r="A74" s="2" t="s">
        <v>139</v>
      </c>
    </row>
    <row r="75" spans="1:7" x14ac:dyDescent="0.25">
      <c r="A75" s="2" t="s">
        <v>157</v>
      </c>
    </row>
    <row r="77" spans="1:7" x14ac:dyDescent="0.25">
      <c r="A77" s="2" t="s">
        <v>151</v>
      </c>
    </row>
    <row r="78" spans="1:7" x14ac:dyDescent="0.25">
      <c r="A78" s="2" t="s">
        <v>152</v>
      </c>
    </row>
    <row r="79" spans="1:7" x14ac:dyDescent="0.25">
      <c r="A79" s="2" t="s">
        <v>153</v>
      </c>
    </row>
    <row r="80" spans="1:7" x14ac:dyDescent="0.25">
      <c r="A80" s="2" t="s">
        <v>154</v>
      </c>
    </row>
    <row r="81" spans="1:1" x14ac:dyDescent="0.25">
      <c r="A81" s="2" t="s">
        <v>155</v>
      </c>
    </row>
    <row r="82" spans="1:1" x14ac:dyDescent="0.25">
      <c r="A82" s="2" t="s">
        <v>165</v>
      </c>
    </row>
    <row r="83" spans="1:1" x14ac:dyDescent="0.25">
      <c r="A83" s="39" t="s">
        <v>166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zoomScaleNormal="100" workbookViewId="0">
      <selection activeCell="E136" sqref="E136"/>
    </sheetView>
  </sheetViews>
  <sheetFormatPr baseColWidth="10" defaultRowHeight="15" x14ac:dyDescent="0.25"/>
  <cols>
    <col min="1" max="1" width="54.85546875" style="8" customWidth="1"/>
    <col min="2" max="3" width="16.85546875" style="8" bestFit="1" customWidth="1"/>
    <col min="4" max="5" width="15.28515625" style="8" customWidth="1"/>
    <col min="6" max="6" width="15.28515625" style="8" bestFit="1" customWidth="1"/>
    <col min="7" max="7" width="11.5703125" style="8" bestFit="1" customWidth="1"/>
    <col min="8" max="16384" width="11.42578125" style="8"/>
  </cols>
  <sheetData>
    <row r="1" spans="1:7" x14ac:dyDescent="0.25">
      <c r="A1" s="86" t="s">
        <v>164</v>
      </c>
      <c r="B1" s="86"/>
      <c r="C1" s="86"/>
      <c r="D1" s="86"/>
      <c r="E1" s="86"/>
      <c r="F1" s="86"/>
      <c r="G1" s="86"/>
    </row>
    <row r="3" spans="1:7" x14ac:dyDescent="0.25">
      <c r="A3" s="89" t="s">
        <v>0</v>
      </c>
      <c r="B3" s="84" t="s">
        <v>46</v>
      </c>
      <c r="C3" s="87" t="s">
        <v>2</v>
      </c>
      <c r="D3" s="87"/>
      <c r="E3" s="87"/>
      <c r="F3" s="87"/>
      <c r="G3" s="87"/>
    </row>
    <row r="4" spans="1:7" ht="15.75" thickBot="1" x14ac:dyDescent="0.3">
      <c r="A4" s="90"/>
      <c r="B4" s="92"/>
      <c r="C4" s="88" t="s">
        <v>3</v>
      </c>
      <c r="D4" s="88"/>
      <c r="E4" s="88"/>
      <c r="F4" s="84" t="s">
        <v>4</v>
      </c>
      <c r="G4" s="84" t="s">
        <v>5</v>
      </c>
    </row>
    <row r="5" spans="1:7" ht="16.5" thickTop="1" thickBot="1" x14ac:dyDescent="0.3">
      <c r="A5" s="91"/>
      <c r="B5" s="85"/>
      <c r="C5" s="57" t="s">
        <v>167</v>
      </c>
      <c r="D5" s="57" t="s">
        <v>135</v>
      </c>
      <c r="E5" s="57" t="s">
        <v>137</v>
      </c>
      <c r="F5" s="85"/>
      <c r="G5" s="85"/>
    </row>
    <row r="6" spans="1:7" ht="15.75" thickTop="1" x14ac:dyDescent="0.25">
      <c r="A6" s="58"/>
      <c r="B6" s="59"/>
      <c r="C6" s="60"/>
      <c r="D6" s="60"/>
      <c r="E6" s="60"/>
      <c r="F6" s="59"/>
      <c r="G6" s="59"/>
    </row>
    <row r="7" spans="1:7" x14ac:dyDescent="0.25">
      <c r="A7" s="61" t="s">
        <v>6</v>
      </c>
    </row>
    <row r="8" spans="1:7" x14ac:dyDescent="0.25">
      <c r="A8" s="8" t="s">
        <v>7</v>
      </c>
    </row>
    <row r="9" spans="1:7" x14ac:dyDescent="0.25">
      <c r="A9" s="8" t="s">
        <v>82</v>
      </c>
      <c r="B9" s="8">
        <f>C9+F9+G9</f>
        <v>2462</v>
      </c>
      <c r="C9" s="8">
        <f>'I trimestre'!C9+'II Trimestre'!C9+'III Trimestre'!C9+'IV Trimestre'!C9</f>
        <v>1166</v>
      </c>
      <c r="D9" s="8">
        <f>'I trimestre'!D9+'II Trimestre'!D9+'III Trimestre'!D9+'IV Trimestre'!D9</f>
        <v>540</v>
      </c>
      <c r="E9" s="8">
        <f>'I trimestre'!E9+'II Trimestre'!E9+'III Trimestre'!E9+'IV Trimestre'!E9</f>
        <v>626</v>
      </c>
      <c r="F9" s="8">
        <f>'I trimestre'!F9+'II Trimestre'!F9+'III Trimestre'!F9+'IV Trimestre'!F9</f>
        <v>1296</v>
      </c>
      <c r="G9" s="8">
        <f>'I trimestre'!G9+'II Trimestre'!G9+'III Trimestre'!G9+'IV Trimestre'!G9</f>
        <v>0</v>
      </c>
    </row>
    <row r="10" spans="1:7" x14ac:dyDescent="0.25">
      <c r="A10" s="8" t="s">
        <v>83</v>
      </c>
      <c r="B10" s="8">
        <f t="shared" ref="B10:B12" si="0">C10+F10+G10</f>
        <v>2583</v>
      </c>
      <c r="C10" s="8">
        <f>'I trimestre'!C10+'II Trimestre'!C10+'III Trimestre'!C10+'IV Trimestre'!C10</f>
        <v>833</v>
      </c>
      <c r="D10" s="8">
        <f>'I trimestre'!D10+'II Trimestre'!D10+'III Trimestre'!D10+'IV Trimestre'!D10</f>
        <v>300</v>
      </c>
      <c r="E10" s="8">
        <f>'I trimestre'!E10+'II Trimestre'!E10+'III Trimestre'!E10+'IV Trimestre'!E10</f>
        <v>533</v>
      </c>
      <c r="F10" s="8">
        <f>'I trimestre'!F10+'II Trimestre'!F10+'III Trimestre'!F10+'IV Trimestre'!F10</f>
        <v>1750</v>
      </c>
      <c r="G10" s="8">
        <v>0</v>
      </c>
    </row>
    <row r="11" spans="1:7" x14ac:dyDescent="0.25">
      <c r="A11" s="8" t="s">
        <v>84</v>
      </c>
      <c r="B11" s="8">
        <f t="shared" si="0"/>
        <v>2326</v>
      </c>
      <c r="C11" s="8">
        <f>'I trimestre'!C11+'II Trimestre'!C11+'III Trimestre'!C11+'IV Trimestre'!C11</f>
        <v>623</v>
      </c>
      <c r="D11" s="8">
        <f>'I trimestre'!D11+'II Trimestre'!D11+'III Trimestre'!D11+'IV Trimestre'!D11</f>
        <v>186</v>
      </c>
      <c r="E11" s="8">
        <f>'I trimestre'!E11+'II Trimestre'!E11+'III Trimestre'!E11+'IV Trimestre'!E11</f>
        <v>437</v>
      </c>
      <c r="F11" s="8">
        <f>'I trimestre'!F11+'II Trimestre'!F11+'III Trimestre'!F11+'IV Trimestre'!F11</f>
        <v>1703</v>
      </c>
      <c r="G11" s="8">
        <f>'I trimestre'!G11+'II Trimestre'!G11+'III Trimestre'!G11+'IV Trimestre'!G11</f>
        <v>0</v>
      </c>
    </row>
    <row r="12" spans="1:7" x14ac:dyDescent="0.25">
      <c r="A12" s="8" t="s">
        <v>11</v>
      </c>
      <c r="B12" s="8">
        <f t="shared" si="0"/>
        <v>2583</v>
      </c>
      <c r="C12" s="8">
        <f t="shared" ref="C12" si="1">D12+E12</f>
        <v>833</v>
      </c>
      <c r="D12" s="8">
        <v>300</v>
      </c>
      <c r="E12" s="8">
        <v>533</v>
      </c>
      <c r="F12" s="8">
        <v>1750</v>
      </c>
      <c r="G12" s="8">
        <v>0</v>
      </c>
    </row>
    <row r="14" spans="1:7" x14ac:dyDescent="0.25">
      <c r="A14" s="8" t="s">
        <v>12</v>
      </c>
    </row>
    <row r="15" spans="1:7" x14ac:dyDescent="0.25">
      <c r="A15" s="8" t="s">
        <v>85</v>
      </c>
      <c r="B15" s="8">
        <f>C15+F15+G15</f>
        <v>1932017280.96</v>
      </c>
      <c r="C15" s="8">
        <f>'I trimestre'!C15+'II Trimestre'!C15+'III Trimestre'!C15+'IV Trimestre'!C15</f>
        <v>1810857280.96</v>
      </c>
      <c r="D15" s="8">
        <f>'I trimestre'!D15+'II Trimestre'!D15+'III Trimestre'!D15+'IV Trimestre'!D15</f>
        <v>935384831.58999991</v>
      </c>
      <c r="E15" s="8">
        <f>'I trimestre'!E15+'II Trimestre'!E15+'III Trimestre'!E15+'IV Trimestre'!E15</f>
        <v>875472449.37</v>
      </c>
      <c r="F15" s="8">
        <f>'I trimestre'!F15+'II Trimestre'!F15+'III Trimestre'!F15+'IV Trimestre'!F15</f>
        <v>121160000</v>
      </c>
      <c r="G15" s="8">
        <f>'I trimestre'!G15+'II Trimestre'!G15+'III Trimestre'!G15+'IV Trimestre'!G15</f>
        <v>0</v>
      </c>
    </row>
    <row r="16" spans="1:7" x14ac:dyDescent="0.25">
      <c r="A16" s="8" t="s">
        <v>83</v>
      </c>
      <c r="B16" s="8">
        <f t="shared" ref="B16:B17" si="2">C16+F16+G16</f>
        <v>1449500000</v>
      </c>
      <c r="C16" s="8">
        <f>'I trimestre'!C16+'II Trimestre'!C16+'III Trimestre'!C16+'IV Trimestre'!C16</f>
        <v>1249500000</v>
      </c>
      <c r="D16" s="8">
        <f>'I trimestre'!D16+'II Trimestre'!D16+'III Trimestre'!D16+'IV Trimestre'!D16</f>
        <v>450000000</v>
      </c>
      <c r="E16" s="8">
        <f>'I trimestre'!E16+'II Trimestre'!E16+'III Trimestre'!E16+'IV Trimestre'!E16</f>
        <v>799500000</v>
      </c>
      <c r="F16" s="8">
        <f>'I trimestre'!F16+'II Trimestre'!F16+'III Trimestre'!F16+'IV Trimestre'!F16</f>
        <v>200000000</v>
      </c>
      <c r="G16" s="8">
        <f>'I trimestre'!G16+'II Trimestre'!G16+'III Trimestre'!G16+'IV Trimestre'!G16</f>
        <v>0</v>
      </c>
    </row>
    <row r="17" spans="1:7" x14ac:dyDescent="0.25">
      <c r="A17" s="8" t="s">
        <v>84</v>
      </c>
      <c r="B17" s="8">
        <f t="shared" si="2"/>
        <v>1475276881.8900001</v>
      </c>
      <c r="C17" s="8">
        <f>'I trimestre'!C17+'II Trimestre'!C17+'III Trimestre'!C17+'IV Trimestre'!C17</f>
        <v>1285081211.97</v>
      </c>
      <c r="D17" s="8">
        <f>'I trimestre'!D17+'II Trimestre'!D17+'III Trimestre'!D17+'IV Trimestre'!D17</f>
        <v>485573000</v>
      </c>
      <c r="E17" s="8">
        <f>'I trimestre'!E17+'II Trimestre'!E17+'III Trimestre'!E17+'IV Trimestre'!E17</f>
        <v>799508211.97000003</v>
      </c>
      <c r="F17" s="8">
        <f>'I trimestre'!F17+'II Trimestre'!F17+'III Trimestre'!F17+'IV Trimestre'!F17</f>
        <v>190195669.92000002</v>
      </c>
      <c r="G17" s="8">
        <f>'I trimestre'!G17+'II Trimestre'!G17+'III Trimestre'!G17+'IV Trimestre'!G17</f>
        <v>0</v>
      </c>
    </row>
    <row r="18" spans="1:7" x14ac:dyDescent="0.25">
      <c r="A18" s="8" t="s">
        <v>11</v>
      </c>
      <c r="B18" s="8">
        <f>'IV Trimestre'!B18</f>
        <v>1449500000</v>
      </c>
      <c r="C18" s="8">
        <f>'IV Trimestre'!C18</f>
        <v>1249500000</v>
      </c>
      <c r="D18" s="8">
        <v>450000000</v>
      </c>
      <c r="E18" s="8">
        <v>799500000</v>
      </c>
      <c r="F18" s="8">
        <v>200000000</v>
      </c>
      <c r="G18" s="8">
        <f>'IV Trimestre'!G18</f>
        <v>0</v>
      </c>
    </row>
    <row r="19" spans="1:7" x14ac:dyDescent="0.25">
      <c r="A19" s="8" t="s">
        <v>86</v>
      </c>
      <c r="B19" s="8">
        <f>C19</f>
        <v>1285081211.97</v>
      </c>
      <c r="C19" s="8">
        <f>'I trimestre'!C19+'II Trimestre'!C19+'III Trimestre'!C19+'IV Trimestre'!C19</f>
        <v>1285081211.97</v>
      </c>
      <c r="D19" s="8">
        <f>'I trimestre'!D19+'II Trimestre'!D19+'III Trimestre'!D19+'IV Trimestre'!D19</f>
        <v>485573000</v>
      </c>
      <c r="E19" s="8">
        <f>'I trimestre'!E19+'II Trimestre'!E19+'III Trimestre'!E19+'IV Trimestre'!E19</f>
        <v>799508211.97000003</v>
      </c>
    </row>
    <row r="21" spans="1:7" x14ac:dyDescent="0.25">
      <c r="A21" s="8" t="s">
        <v>14</v>
      </c>
    </row>
    <row r="22" spans="1:7" x14ac:dyDescent="0.25">
      <c r="A22" s="8" t="s">
        <v>83</v>
      </c>
      <c r="B22" s="8">
        <f>B16</f>
        <v>1449500000</v>
      </c>
      <c r="C22" s="8">
        <f t="shared" ref="C22:G22" si="3">C16</f>
        <v>1249500000</v>
      </c>
      <c r="D22" s="8">
        <f t="shared" si="3"/>
        <v>450000000</v>
      </c>
      <c r="E22" s="8">
        <f t="shared" si="3"/>
        <v>799500000</v>
      </c>
      <c r="F22" s="8">
        <f t="shared" si="3"/>
        <v>200000000</v>
      </c>
      <c r="G22" s="8">
        <f t="shared" si="3"/>
        <v>0</v>
      </c>
    </row>
    <row r="23" spans="1:7" x14ac:dyDescent="0.25">
      <c r="A23" s="8" t="s">
        <v>84</v>
      </c>
      <c r="B23" s="8">
        <f>'I trimestre'!B23+'II Trimestre'!B23+'III Trimestre'!B23+'IV Trimestre'!B23</f>
        <v>3207000000</v>
      </c>
      <c r="D23" s="8">
        <v>2207500000</v>
      </c>
      <c r="E23" s="8">
        <v>999500000</v>
      </c>
    </row>
    <row r="25" spans="1:7" x14ac:dyDescent="0.25">
      <c r="A25" s="8" t="s">
        <v>15</v>
      </c>
    </row>
    <row r="26" spans="1:7" x14ac:dyDescent="0.25">
      <c r="A26" s="8" t="s">
        <v>87</v>
      </c>
      <c r="B26" s="64">
        <v>1.4000346908083336</v>
      </c>
      <c r="C26" s="64">
        <v>1.4000346908083336</v>
      </c>
      <c r="D26" s="64">
        <v>1.4000346908083336</v>
      </c>
      <c r="E26" s="64">
        <v>1.4000346908083336</v>
      </c>
      <c r="F26" s="64">
        <v>1.4000346908083336</v>
      </c>
      <c r="G26" s="64">
        <v>1.4000346908083336</v>
      </c>
    </row>
    <row r="27" spans="1:7" x14ac:dyDescent="0.25">
      <c r="A27" s="8" t="s">
        <v>88</v>
      </c>
      <c r="B27" s="64">
        <v>1.4683304717083334</v>
      </c>
      <c r="C27" s="64">
        <v>1.4683304717083334</v>
      </c>
      <c r="D27" s="64">
        <v>1.4683304717083334</v>
      </c>
      <c r="E27" s="64">
        <v>1.4683304717083334</v>
      </c>
      <c r="F27" s="64">
        <v>1.4683304717083334</v>
      </c>
      <c r="G27" s="64">
        <v>1.4683304717083334</v>
      </c>
    </row>
    <row r="28" spans="1:7" x14ac:dyDescent="0.25">
      <c r="A28" s="8" t="s">
        <v>18</v>
      </c>
      <c r="B28" s="8">
        <v>93736</v>
      </c>
      <c r="C28" s="8">
        <v>93736</v>
      </c>
      <c r="D28" s="8">
        <v>93736</v>
      </c>
      <c r="E28" s="8">
        <v>93736</v>
      </c>
      <c r="F28" s="8">
        <v>93736</v>
      </c>
      <c r="G28" s="8">
        <v>93736</v>
      </c>
    </row>
    <row r="30" spans="1:7" x14ac:dyDescent="0.25">
      <c r="A30" s="8" t="s">
        <v>19</v>
      </c>
    </row>
    <row r="31" spans="1:7" x14ac:dyDescent="0.25">
      <c r="A31" s="8" t="s">
        <v>89</v>
      </c>
      <c r="B31" s="8">
        <f>B15/B26</f>
        <v>1379978148.8589523</v>
      </c>
      <c r="C31" s="8">
        <f t="shared" ref="C31:G31" si="4">C15/C26</f>
        <v>1293437436.1212943</v>
      </c>
      <c r="D31" s="8">
        <f t="shared" ref="D31:E31" si="5">D15/D26</f>
        <v>668115467.23170102</v>
      </c>
      <c r="E31" s="8">
        <f t="shared" si="5"/>
        <v>625321968.88959312</v>
      </c>
      <c r="F31" s="8">
        <f t="shared" si="4"/>
        <v>86540712.737658113</v>
      </c>
      <c r="G31" s="8">
        <f t="shared" si="4"/>
        <v>0</v>
      </c>
    </row>
    <row r="32" spans="1:7" x14ac:dyDescent="0.25">
      <c r="A32" s="8" t="s">
        <v>90</v>
      </c>
      <c r="B32" s="8">
        <f>B17/B27</f>
        <v>1004730822.0564169</v>
      </c>
      <c r="C32" s="8">
        <f t="shared" ref="C32:G32" si="6">C17/C27</f>
        <v>875198898.83839881</v>
      </c>
      <c r="D32" s="8">
        <f t="shared" ref="D32:E32" si="7">D17/D27</f>
        <v>330697352.77989477</v>
      </c>
      <c r="E32" s="8">
        <f t="shared" si="7"/>
        <v>544501546.05850399</v>
      </c>
      <c r="F32" s="8">
        <f t="shared" si="6"/>
        <v>129531923.21801801</v>
      </c>
      <c r="G32" s="8">
        <f t="shared" si="6"/>
        <v>0</v>
      </c>
    </row>
    <row r="33" spans="1:7" x14ac:dyDescent="0.25">
      <c r="A33" s="8" t="s">
        <v>91</v>
      </c>
      <c r="B33" s="8">
        <f>B31/B9</f>
        <v>560511.02715635754</v>
      </c>
      <c r="C33" s="8">
        <f t="shared" ref="C33:G33" si="8">C31/C9</f>
        <v>1109294.5421280398</v>
      </c>
      <c r="D33" s="8">
        <f t="shared" ref="D33:E33" si="9">D31/D9</f>
        <v>1237250.8652438908</v>
      </c>
      <c r="E33" s="8">
        <f t="shared" si="9"/>
        <v>998916.88321021269</v>
      </c>
      <c r="F33" s="8">
        <f>F31/F9</f>
        <v>66775.241309921388</v>
      </c>
      <c r="G33" s="8" t="e">
        <f t="shared" si="8"/>
        <v>#DIV/0!</v>
      </c>
    </row>
    <row r="34" spans="1:7" x14ac:dyDescent="0.25">
      <c r="A34" s="8" t="s">
        <v>92</v>
      </c>
      <c r="B34" s="8">
        <f>B32/B11</f>
        <v>431956.50131402275</v>
      </c>
      <c r="C34" s="8">
        <f t="shared" ref="C34:F34" si="10">C32/C11</f>
        <v>1404813.6417951826</v>
      </c>
      <c r="D34" s="8">
        <f t="shared" ref="D34:E34" si="11">D32/D11</f>
        <v>1777942.7568811546</v>
      </c>
      <c r="E34" s="8">
        <f t="shared" si="11"/>
        <v>1245998.9612322745</v>
      </c>
      <c r="F34" s="8">
        <f t="shared" si="10"/>
        <v>76061.023615982383</v>
      </c>
      <c r="G34" s="8" t="e">
        <f>G32/G11</f>
        <v>#DIV/0!</v>
      </c>
    </row>
    <row r="36" spans="1:7" x14ac:dyDescent="0.25">
      <c r="A36" s="8" t="s">
        <v>24</v>
      </c>
    </row>
    <row r="38" spans="1:7" x14ac:dyDescent="0.25">
      <c r="A38" s="8" t="s">
        <v>25</v>
      </c>
    </row>
    <row r="39" spans="1:7" x14ac:dyDescent="0.25">
      <c r="A39" s="8" t="s">
        <v>26</v>
      </c>
      <c r="B39" s="64">
        <f>B10/B28*100</f>
        <v>2.7556115046513612</v>
      </c>
      <c r="C39" s="64">
        <f>C10/C28*100</f>
        <v>0.88866604079542544</v>
      </c>
      <c r="D39" s="64">
        <f t="shared" ref="D39:E39" si="12">D10/D28*100</f>
        <v>0.32004779380387471</v>
      </c>
      <c r="E39" s="64">
        <f t="shared" si="12"/>
        <v>0.56861824699155072</v>
      </c>
      <c r="F39" s="64">
        <f>F10/F28*100</f>
        <v>1.8669454638559357</v>
      </c>
      <c r="G39" s="64">
        <f>G10/G28*100</f>
        <v>0</v>
      </c>
    </row>
    <row r="40" spans="1:7" x14ac:dyDescent="0.25">
      <c r="A40" s="8" t="s">
        <v>27</v>
      </c>
      <c r="B40" s="64">
        <f>B11/B28*100</f>
        <v>2.481437227959375</v>
      </c>
      <c r="C40" s="64">
        <f>C11/C28*100</f>
        <v>0.66463258513271317</v>
      </c>
      <c r="D40" s="64">
        <f t="shared" ref="D40:E40" si="13">D11/D28*100</f>
        <v>0.19842963215840231</v>
      </c>
      <c r="E40" s="64">
        <f t="shared" si="13"/>
        <v>0.46620295297431086</v>
      </c>
      <c r="F40" s="64">
        <f>F11/F28*100</f>
        <v>1.816804642826662</v>
      </c>
      <c r="G40" s="64">
        <f>G11/G28*100</f>
        <v>0</v>
      </c>
    </row>
    <row r="41" spans="1:7" x14ac:dyDescent="0.25">
      <c r="B41" s="64"/>
      <c r="C41" s="64"/>
      <c r="D41" s="64"/>
      <c r="E41" s="64"/>
      <c r="F41" s="64"/>
      <c r="G41" s="64"/>
    </row>
    <row r="42" spans="1:7" x14ac:dyDescent="0.25">
      <c r="A42" s="8" t="s">
        <v>28</v>
      </c>
      <c r="B42" s="64"/>
      <c r="C42" s="64"/>
      <c r="D42" s="64"/>
      <c r="E42" s="64"/>
      <c r="F42" s="64"/>
      <c r="G42" s="64"/>
    </row>
    <row r="43" spans="1:7" x14ac:dyDescent="0.25">
      <c r="A43" s="8" t="s">
        <v>29</v>
      </c>
      <c r="B43" s="64">
        <f>B11/B10*100</f>
        <v>90.050329074719315</v>
      </c>
      <c r="C43" s="64">
        <f>C11/C10*100</f>
        <v>74.789915966386559</v>
      </c>
      <c r="D43" s="64">
        <f t="shared" ref="D43:E43" si="14">D11/D10*100</f>
        <v>62</v>
      </c>
      <c r="E43" s="64">
        <f t="shared" si="14"/>
        <v>81.988742964352724</v>
      </c>
      <c r="F43" s="64">
        <f t="shared" ref="F43" si="15">F11/F10*100</f>
        <v>97.314285714285717</v>
      </c>
      <c r="G43" s="64" t="e">
        <f>G11/G10*100</f>
        <v>#DIV/0!</v>
      </c>
    </row>
    <row r="44" spans="1:7" x14ac:dyDescent="0.25">
      <c r="A44" s="8" t="s">
        <v>30</v>
      </c>
      <c r="B44" s="64">
        <f>B17/B16*100</f>
        <v>101.77832920938255</v>
      </c>
      <c r="C44" s="64">
        <f t="shared" ref="C44:G44" si="16">C17/C16*100</f>
        <v>102.8476360120048</v>
      </c>
      <c r="D44" s="64">
        <f t="shared" ref="D44:E44" si="17">D17/D16*100</f>
        <v>107.90511111111113</v>
      </c>
      <c r="E44" s="64">
        <f t="shared" si="17"/>
        <v>100.0010271382114</v>
      </c>
      <c r="F44" s="64">
        <f t="shared" si="16"/>
        <v>95.09783496</v>
      </c>
      <c r="G44" s="64" t="e">
        <f t="shared" si="16"/>
        <v>#DIV/0!</v>
      </c>
    </row>
    <row r="45" spans="1:7" x14ac:dyDescent="0.25">
      <c r="A45" s="8" t="s">
        <v>31</v>
      </c>
      <c r="B45" s="64">
        <f>AVERAGE(B43:B44)</f>
        <v>95.914329142050931</v>
      </c>
      <c r="C45" s="64">
        <f t="shared" ref="C45:G45" si="18">AVERAGE(C43:C44)</f>
        <v>88.818775989195672</v>
      </c>
      <c r="D45" s="64">
        <f t="shared" ref="D45:E45" si="19">AVERAGE(D43:D44)</f>
        <v>84.952555555555563</v>
      </c>
      <c r="E45" s="64">
        <f t="shared" si="19"/>
        <v>90.994885051282068</v>
      </c>
      <c r="F45" s="64">
        <f>AVERAGE(F43:F44)</f>
        <v>96.206060337142858</v>
      </c>
      <c r="G45" s="64" t="e">
        <f t="shared" si="18"/>
        <v>#DIV/0!</v>
      </c>
    </row>
    <row r="46" spans="1:7" x14ac:dyDescent="0.25">
      <c r="B46" s="64"/>
      <c r="C46" s="64"/>
      <c r="D46" s="64"/>
      <c r="E46" s="64"/>
      <c r="F46" s="64"/>
      <c r="G46" s="64"/>
    </row>
    <row r="47" spans="1:7" x14ac:dyDescent="0.25">
      <c r="A47" s="8" t="s">
        <v>32</v>
      </c>
      <c r="B47" s="64"/>
      <c r="C47" s="64"/>
      <c r="D47" s="64"/>
      <c r="E47" s="64"/>
      <c r="F47" s="64"/>
      <c r="G47" s="64"/>
    </row>
    <row r="48" spans="1:7" x14ac:dyDescent="0.25">
      <c r="A48" s="8" t="s">
        <v>33</v>
      </c>
      <c r="B48" s="64">
        <f>B11/B12*100</f>
        <v>90.050329074719315</v>
      </c>
      <c r="C48" s="64">
        <f>C11/C12*100</f>
        <v>74.789915966386559</v>
      </c>
      <c r="D48" s="64">
        <f t="shared" ref="D48:E48" si="20">D11/D12*100</f>
        <v>62</v>
      </c>
      <c r="E48" s="64">
        <f t="shared" si="20"/>
        <v>81.988742964352724</v>
      </c>
      <c r="F48" s="64">
        <f t="shared" ref="F48:G48" si="21">F11/F12*100</f>
        <v>97.314285714285717</v>
      </c>
      <c r="G48" s="64" t="e">
        <f t="shared" si="21"/>
        <v>#DIV/0!</v>
      </c>
    </row>
    <row r="49" spans="1:7" x14ac:dyDescent="0.25">
      <c r="A49" s="8" t="s">
        <v>34</v>
      </c>
      <c r="B49" s="64">
        <f>B17/B18*100</f>
        <v>101.77832920938255</v>
      </c>
      <c r="C49" s="64">
        <f t="shared" ref="C49:G49" si="22">C17/C18*100</f>
        <v>102.8476360120048</v>
      </c>
      <c r="D49" s="64">
        <f t="shared" ref="D49:E49" si="23">D17/D18*100</f>
        <v>107.90511111111113</v>
      </c>
      <c r="E49" s="64">
        <f t="shared" si="23"/>
        <v>100.0010271382114</v>
      </c>
      <c r="F49" s="64">
        <f t="shared" si="22"/>
        <v>95.09783496</v>
      </c>
      <c r="G49" s="64" t="e">
        <f t="shared" si="22"/>
        <v>#DIV/0!</v>
      </c>
    </row>
    <row r="50" spans="1:7" x14ac:dyDescent="0.25">
      <c r="A50" s="8" t="s">
        <v>35</v>
      </c>
      <c r="B50" s="64">
        <f>AVERAGE(B48:B49)</f>
        <v>95.914329142050931</v>
      </c>
      <c r="C50" s="64">
        <f t="shared" ref="C50:G50" si="24">AVERAGE(C48:C49)</f>
        <v>88.818775989195672</v>
      </c>
      <c r="D50" s="64">
        <f t="shared" ref="D50:E50" si="25">AVERAGE(D48:D49)</f>
        <v>84.952555555555563</v>
      </c>
      <c r="E50" s="64">
        <f t="shared" si="25"/>
        <v>90.994885051282068</v>
      </c>
      <c r="F50" s="64">
        <f t="shared" si="24"/>
        <v>96.206060337142858</v>
      </c>
      <c r="G50" s="64" t="e">
        <f t="shared" si="24"/>
        <v>#DIV/0!</v>
      </c>
    </row>
    <row r="51" spans="1:7" x14ac:dyDescent="0.25">
      <c r="B51" s="64"/>
      <c r="C51" s="64"/>
      <c r="D51" s="64"/>
      <c r="E51" s="64"/>
      <c r="F51" s="64"/>
      <c r="G51" s="64"/>
    </row>
    <row r="52" spans="1:7" x14ac:dyDescent="0.25">
      <c r="A52" s="8" t="s">
        <v>36</v>
      </c>
      <c r="B52" s="64"/>
      <c r="C52" s="64"/>
      <c r="D52" s="64"/>
      <c r="E52" s="64"/>
      <c r="F52" s="64"/>
      <c r="G52" s="64"/>
    </row>
    <row r="53" spans="1:7" x14ac:dyDescent="0.25">
      <c r="B53" s="64"/>
      <c r="C53" s="64"/>
      <c r="D53" s="64"/>
      <c r="E53" s="64"/>
      <c r="F53" s="64"/>
      <c r="G53" s="64"/>
    </row>
    <row r="54" spans="1:7" x14ac:dyDescent="0.25">
      <c r="A54" s="8" t="s">
        <v>37</v>
      </c>
      <c r="B54" s="64"/>
      <c r="C54" s="64"/>
      <c r="D54" s="64"/>
      <c r="E54" s="64"/>
      <c r="F54" s="64"/>
      <c r="G54" s="64"/>
    </row>
    <row r="55" spans="1:7" x14ac:dyDescent="0.25">
      <c r="A55" s="8" t="s">
        <v>38</v>
      </c>
      <c r="B55" s="64">
        <f>((B11/B9)-1)*100</f>
        <v>-5.5239642567018628</v>
      </c>
      <c r="C55" s="64">
        <f t="shared" ref="C55:E55" si="26">((C11/C9)-1)*100</f>
        <v>-46.56946826758147</v>
      </c>
      <c r="D55" s="64">
        <f t="shared" si="26"/>
        <v>-65.555555555555557</v>
      </c>
      <c r="E55" s="64">
        <f t="shared" si="26"/>
        <v>-30.191693290734822</v>
      </c>
      <c r="F55" s="64">
        <f>((F11/F9)-1)*100</f>
        <v>31.404320987654309</v>
      </c>
      <c r="G55" s="64" t="e">
        <f>((G11/G9)-1)*100</f>
        <v>#DIV/0!</v>
      </c>
    </row>
    <row r="56" spans="1:7" x14ac:dyDescent="0.25">
      <c r="A56" s="8" t="s">
        <v>39</v>
      </c>
      <c r="B56" s="64">
        <f>((B32/B31)-1)*100</f>
        <v>-27.192265842239038</v>
      </c>
      <c r="C56" s="64">
        <f>((C32/C31)-1)*100</f>
        <v>-32.335428494871124</v>
      </c>
      <c r="D56" s="64">
        <f t="shared" ref="D56:E56" si="27">((D32/D31)-1)*100</f>
        <v>-50.502964083420984</v>
      </c>
      <c r="E56" s="64">
        <f t="shared" si="27"/>
        <v>-12.924609537484333</v>
      </c>
      <c r="F56" s="64">
        <f t="shared" ref="F56:G56" si="28">((F32/F31)-1)*100</f>
        <v>49.67743980880379</v>
      </c>
      <c r="G56" s="64" t="e">
        <f t="shared" si="28"/>
        <v>#DIV/0!</v>
      </c>
    </row>
    <row r="57" spans="1:7" x14ac:dyDescent="0.25">
      <c r="A57" s="8" t="s">
        <v>40</v>
      </c>
      <c r="B57" s="64">
        <f>((B34/B33)-1)*100</f>
        <v>-22.935235814098231</v>
      </c>
      <c r="C57" s="64">
        <f t="shared" ref="C57:G57" si="29">((C34/C33)-1)*100</f>
        <v>26.640273475088705</v>
      </c>
      <c r="D57" s="64">
        <f t="shared" ref="D57:E57" si="30">((D34/D33)-1)*100</f>
        <v>43.701072015874566</v>
      </c>
      <c r="E57" s="64">
        <f t="shared" si="30"/>
        <v>24.734998694587663</v>
      </c>
      <c r="F57" s="64">
        <f t="shared" si="29"/>
        <v>13.906025832184188</v>
      </c>
      <c r="G57" s="64" t="e">
        <f t="shared" si="29"/>
        <v>#DIV/0!</v>
      </c>
    </row>
    <row r="59" spans="1:7" x14ac:dyDescent="0.25">
      <c r="A59" s="8" t="s">
        <v>41</v>
      </c>
    </row>
    <row r="60" spans="1:7" x14ac:dyDescent="0.25">
      <c r="A60" s="8" t="s">
        <v>168</v>
      </c>
      <c r="B60" s="8">
        <f>B16/(B10*12)</f>
        <v>46764.098593366885</v>
      </c>
      <c r="C60" s="8">
        <f t="shared" ref="C60:G60" si="31">C16/(C10*12)</f>
        <v>125000</v>
      </c>
      <c r="D60" s="8">
        <f t="shared" si="31"/>
        <v>125000</v>
      </c>
      <c r="E60" s="8">
        <f t="shared" si="31"/>
        <v>125000</v>
      </c>
      <c r="F60" s="8">
        <f t="shared" si="31"/>
        <v>9523.8095238095229</v>
      </c>
      <c r="G60" s="8" t="e">
        <f t="shared" si="31"/>
        <v>#DIV/0!</v>
      </c>
    </row>
    <row r="61" spans="1:7" x14ac:dyDescent="0.25">
      <c r="A61" s="8" t="s">
        <v>169</v>
      </c>
      <c r="B61" s="8">
        <f>B17/(B11*12)</f>
        <v>52854.574444325022</v>
      </c>
      <c r="C61" s="8">
        <f t="shared" ref="C61:G61" si="32">C17/(C11*12)</f>
        <v>171894.22310995185</v>
      </c>
      <c r="D61" s="8">
        <f t="shared" si="32"/>
        <v>217550.62724014337</v>
      </c>
      <c r="E61" s="8">
        <f t="shared" si="32"/>
        <v>152461.52020785661</v>
      </c>
      <c r="F61" s="8">
        <f t="shared" si="32"/>
        <v>9306.8932237228437</v>
      </c>
      <c r="G61" s="8" t="e">
        <f t="shared" si="32"/>
        <v>#DIV/0!</v>
      </c>
    </row>
    <row r="62" spans="1:7" x14ac:dyDescent="0.25">
      <c r="A62" s="8" t="s">
        <v>42</v>
      </c>
      <c r="B62" s="64">
        <f>(B60/B61)*B45</f>
        <v>84.862042532197563</v>
      </c>
      <c r="C62" s="64">
        <f t="shared" ref="C62:G62" si="33">(C60/C61)*C45</f>
        <v>64.588249667633463</v>
      </c>
      <c r="D62" s="64">
        <f t="shared" ref="D62:E62" si="34">(D60/D61)*D45</f>
        <v>48.811945886612321</v>
      </c>
      <c r="E62" s="64">
        <f t="shared" si="34"/>
        <v>74.604796121035378</v>
      </c>
      <c r="F62" s="64">
        <f t="shared" si="33"/>
        <v>98.448340564561335</v>
      </c>
      <c r="G62" s="64" t="e">
        <f t="shared" si="33"/>
        <v>#DIV/0!</v>
      </c>
    </row>
    <row r="63" spans="1:7" x14ac:dyDescent="0.25">
      <c r="A63" s="8" t="s">
        <v>170</v>
      </c>
      <c r="B63" s="8">
        <f>B16/B10</f>
        <v>561169.18312040262</v>
      </c>
      <c r="C63" s="8">
        <f t="shared" ref="C63:G63" si="35">C16/C10</f>
        <v>1500000</v>
      </c>
      <c r="D63" s="8">
        <f t="shared" si="35"/>
        <v>1500000</v>
      </c>
      <c r="E63" s="8">
        <f t="shared" si="35"/>
        <v>1500000</v>
      </c>
      <c r="F63" s="8">
        <f t="shared" si="35"/>
        <v>114285.71428571429</v>
      </c>
      <c r="G63" s="8" t="e">
        <f t="shared" si="35"/>
        <v>#DIV/0!</v>
      </c>
    </row>
    <row r="64" spans="1:7" x14ac:dyDescent="0.25">
      <c r="A64" s="8" t="s">
        <v>171</v>
      </c>
      <c r="B64" s="8">
        <f>B17/B11</f>
        <v>634254.89333190036</v>
      </c>
      <c r="C64" s="8">
        <f t="shared" ref="C64:G64" si="36">C17/C11</f>
        <v>2062730.6773194221</v>
      </c>
      <c r="D64" s="8">
        <f t="shared" si="36"/>
        <v>2610607.5268817204</v>
      </c>
      <c r="E64" s="8">
        <f t="shared" si="36"/>
        <v>1829538.2424942793</v>
      </c>
      <c r="F64" s="8">
        <f t="shared" si="36"/>
        <v>111682.71868467411</v>
      </c>
      <c r="G64" s="8" t="e">
        <f t="shared" si="36"/>
        <v>#DIV/0!</v>
      </c>
    </row>
    <row r="66" spans="1:7" x14ac:dyDescent="0.25">
      <c r="A66" s="8" t="s">
        <v>43</v>
      </c>
    </row>
    <row r="67" spans="1:7" x14ac:dyDescent="0.25">
      <c r="A67" s="8" t="s">
        <v>44</v>
      </c>
      <c r="B67" s="64">
        <f>(B23/B22)*100</f>
        <v>221.24870645050015</v>
      </c>
      <c r="D67" s="8">
        <f>(D23/D22)*100</f>
        <v>490.5555555555556</v>
      </c>
      <c r="E67" s="8">
        <f>(E23/(E22+F22))*100</f>
        <v>100</v>
      </c>
    </row>
    <row r="68" spans="1:7" x14ac:dyDescent="0.25">
      <c r="A68" s="8" t="s">
        <v>45</v>
      </c>
      <c r="B68" s="64">
        <f>(B17/B23)*100</f>
        <v>46.001773679139383</v>
      </c>
      <c r="D68" s="8">
        <f t="shared" ref="D68" si="37">(D17/D23)*100</f>
        <v>21.996511891279727</v>
      </c>
      <c r="E68" s="8">
        <f>((E17+F17)/E23)*100</f>
        <v>99.019898138069038</v>
      </c>
    </row>
    <row r="70" spans="1:7" ht="15.75" thickBot="1" x14ac:dyDescent="0.3">
      <c r="A70" s="62"/>
      <c r="B70" s="62"/>
      <c r="C70" s="62"/>
      <c r="D70" s="62"/>
      <c r="E70" s="62"/>
      <c r="F70" s="62"/>
      <c r="G70" s="62"/>
    </row>
    <row r="71" spans="1:7" ht="15.75" thickTop="1" x14ac:dyDescent="0.25"/>
    <row r="72" spans="1:7" x14ac:dyDescent="0.25">
      <c r="A72" s="8" t="s">
        <v>138</v>
      </c>
    </row>
    <row r="73" spans="1:7" x14ac:dyDescent="0.25">
      <c r="A73" s="8" t="s">
        <v>134</v>
      </c>
    </row>
    <row r="74" spans="1:7" x14ac:dyDescent="0.25">
      <c r="A74" s="8" t="s">
        <v>139</v>
      </c>
    </row>
    <row r="75" spans="1:7" x14ac:dyDescent="0.25">
      <c r="A75" s="8" t="s">
        <v>157</v>
      </c>
    </row>
    <row r="77" spans="1:7" x14ac:dyDescent="0.25">
      <c r="A77" s="8" t="s">
        <v>151</v>
      </c>
    </row>
    <row r="78" spans="1:7" x14ac:dyDescent="0.25">
      <c r="A78" s="8" t="s">
        <v>152</v>
      </c>
    </row>
    <row r="79" spans="1:7" x14ac:dyDescent="0.25">
      <c r="A79" s="8" t="s">
        <v>153</v>
      </c>
    </row>
    <row r="80" spans="1:7" x14ac:dyDescent="0.25">
      <c r="A80" s="8" t="s">
        <v>154</v>
      </c>
    </row>
    <row r="81" spans="1:1" x14ac:dyDescent="0.25">
      <c r="A81" s="8" t="s">
        <v>155</v>
      </c>
    </row>
    <row r="82" spans="1:1" x14ac:dyDescent="0.25">
      <c r="A82" s="8" t="s">
        <v>165</v>
      </c>
    </row>
    <row r="83" spans="1:1" x14ac:dyDescent="0.25">
      <c r="A83" s="63" t="s">
        <v>166</v>
      </c>
    </row>
    <row r="105" spans="5:6" x14ac:dyDescent="0.25">
      <c r="E105" s="8" t="s">
        <v>1</v>
      </c>
      <c r="F105" s="8" t="s">
        <v>172</v>
      </c>
    </row>
    <row r="106" spans="5:6" x14ac:dyDescent="0.25">
      <c r="E106" s="8" t="s">
        <v>124</v>
      </c>
      <c r="F106" s="8" t="s">
        <v>173</v>
      </c>
    </row>
    <row r="107" spans="5:6" x14ac:dyDescent="0.25">
      <c r="E107" s="8" t="s">
        <v>4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36"/>
  <sheetViews>
    <sheetView workbookViewId="0">
      <selection activeCell="B15" sqref="B15"/>
    </sheetView>
  </sheetViews>
  <sheetFormatPr baseColWidth="10" defaultRowHeight="15" x14ac:dyDescent="0.25"/>
  <cols>
    <col min="1" max="1" width="27.85546875" customWidth="1"/>
    <col min="2" max="5" width="17.7109375" customWidth="1"/>
    <col min="6" max="6" width="15.42578125" customWidth="1"/>
    <col min="7" max="7" width="1.5703125" customWidth="1"/>
    <col min="8" max="8" width="9.28515625" customWidth="1"/>
    <col min="10" max="10" width="8.28515625" customWidth="1"/>
    <col min="11" max="11" width="8.140625" customWidth="1"/>
    <col min="12" max="12" width="7.140625" customWidth="1"/>
    <col min="13" max="13" width="12.140625" customWidth="1"/>
    <col min="14" max="14" width="8.140625" customWidth="1"/>
  </cols>
  <sheetData>
    <row r="2" spans="1:13" x14ac:dyDescent="0.25">
      <c r="B2" s="93" t="s">
        <v>46</v>
      </c>
      <c r="C2" s="95" t="s">
        <v>2</v>
      </c>
      <c r="D2" s="95"/>
      <c r="E2" s="95"/>
      <c r="F2" s="95"/>
      <c r="G2" s="27"/>
    </row>
    <row r="3" spans="1:13" ht="15.75" thickBot="1" x14ac:dyDescent="0.3">
      <c r="B3" s="94"/>
      <c r="C3" s="3" t="s">
        <v>47</v>
      </c>
      <c r="D3" s="3"/>
      <c r="E3" s="3"/>
      <c r="F3" s="3" t="s">
        <v>48</v>
      </c>
      <c r="G3" s="28"/>
    </row>
    <row r="4" spans="1:13" ht="15.75" thickTop="1" x14ac:dyDescent="0.25">
      <c r="A4" s="6" t="s">
        <v>105</v>
      </c>
      <c r="C4" t="s">
        <v>1</v>
      </c>
      <c r="D4" t="s">
        <v>135</v>
      </c>
      <c r="E4" t="s">
        <v>136</v>
      </c>
    </row>
    <row r="6" spans="1:13" x14ac:dyDescent="0.25">
      <c r="A6" t="s">
        <v>106</v>
      </c>
      <c r="B6" s="5">
        <f>C6+F6</f>
        <v>203500000</v>
      </c>
      <c r="C6" s="5">
        <v>163500000</v>
      </c>
      <c r="D6" s="5">
        <f>D14*C7</f>
        <v>58860000</v>
      </c>
      <c r="E6" s="5">
        <f>E14*C7</f>
        <v>156960000</v>
      </c>
      <c r="F6" s="5">
        <v>40000000</v>
      </c>
      <c r="G6" s="5"/>
      <c r="I6" s="5">
        <v>14</v>
      </c>
      <c r="K6">
        <v>13</v>
      </c>
      <c r="M6">
        <v>20</v>
      </c>
    </row>
    <row r="7" spans="1:13" x14ac:dyDescent="0.25">
      <c r="B7" s="1">
        <f>B6/B14</f>
        <v>0.14034482758620689</v>
      </c>
      <c r="C7" s="1">
        <f t="shared" ref="C7:F7" si="0">C6/C14</f>
        <v>0.1308</v>
      </c>
      <c r="D7" s="1"/>
      <c r="E7" s="1"/>
      <c r="F7" s="1">
        <f t="shared" si="0"/>
        <v>0.2</v>
      </c>
      <c r="G7" s="1"/>
      <c r="I7">
        <v>29</v>
      </c>
      <c r="K7">
        <v>29</v>
      </c>
      <c r="M7">
        <v>30</v>
      </c>
    </row>
    <row r="8" spans="1:13" x14ac:dyDescent="0.25">
      <c r="A8" t="s">
        <v>107</v>
      </c>
      <c r="B8" s="5">
        <f>C8+F8</f>
        <v>427500000</v>
      </c>
      <c r="C8" s="8">
        <v>367500000</v>
      </c>
      <c r="D8" s="8">
        <f>D14*C9</f>
        <v>132300000</v>
      </c>
      <c r="E8" s="8">
        <f>E14*C9</f>
        <v>352800000</v>
      </c>
      <c r="F8" s="5">
        <v>60000000</v>
      </c>
      <c r="G8" s="5"/>
      <c r="I8" s="5">
        <v>34</v>
      </c>
      <c r="K8" s="5">
        <v>35</v>
      </c>
      <c r="M8">
        <v>30</v>
      </c>
    </row>
    <row r="9" spans="1:13" x14ac:dyDescent="0.25">
      <c r="B9" s="1">
        <f>B8/B14</f>
        <v>0.29482758620689653</v>
      </c>
      <c r="C9" s="1">
        <f t="shared" ref="C9:F9" si="1">C8/C14</f>
        <v>0.29399999999999998</v>
      </c>
      <c r="D9" s="1"/>
      <c r="E9" s="1"/>
      <c r="F9" s="1">
        <f t="shared" si="1"/>
        <v>0.3</v>
      </c>
      <c r="G9" s="1"/>
      <c r="I9">
        <v>23</v>
      </c>
      <c r="K9">
        <v>23</v>
      </c>
      <c r="M9">
        <v>20</v>
      </c>
    </row>
    <row r="10" spans="1:13" x14ac:dyDescent="0.25">
      <c r="A10" t="s">
        <v>104</v>
      </c>
      <c r="B10" s="5">
        <f>C10+F10</f>
        <v>492000000</v>
      </c>
      <c r="C10" s="8">
        <v>432000000</v>
      </c>
      <c r="D10" s="8">
        <f>D14*C11</f>
        <v>155520000</v>
      </c>
      <c r="E10" s="8">
        <f>E14*C11</f>
        <v>414720000</v>
      </c>
      <c r="F10" s="5">
        <v>60000000</v>
      </c>
      <c r="G10" s="5"/>
      <c r="H10" s="5"/>
    </row>
    <row r="11" spans="1:13" ht="15" customHeight="1" x14ac:dyDescent="0.25">
      <c r="B11" s="1">
        <f>B10/B14</f>
        <v>0.33931034482758621</v>
      </c>
      <c r="C11" s="1">
        <f t="shared" ref="C11:F11" si="2">C10/C14</f>
        <v>0.34560000000000002</v>
      </c>
      <c r="D11" s="1"/>
      <c r="E11" s="1"/>
      <c r="F11" s="1">
        <f t="shared" si="2"/>
        <v>0.3</v>
      </c>
      <c r="G11" s="1"/>
      <c r="H11" s="5"/>
      <c r="I11" s="96" t="s">
        <v>121</v>
      </c>
      <c r="J11" s="96"/>
      <c r="K11" s="96"/>
      <c r="L11" s="96"/>
    </row>
    <row r="12" spans="1:13" x14ac:dyDescent="0.25">
      <c r="A12" t="s">
        <v>108</v>
      </c>
      <c r="B12" s="5">
        <f>C12+F12</f>
        <v>326500000</v>
      </c>
      <c r="C12" s="5">
        <v>286500000</v>
      </c>
      <c r="D12" s="5">
        <f>D14*C13</f>
        <v>103140000</v>
      </c>
      <c r="E12" s="5">
        <f>E14*C13</f>
        <v>275040000</v>
      </c>
      <c r="F12" s="5">
        <v>40000000</v>
      </c>
      <c r="G12" s="5"/>
      <c r="H12" s="5"/>
      <c r="I12" s="96"/>
      <c r="J12" s="96"/>
      <c r="K12" s="96"/>
      <c r="L12" s="96"/>
    </row>
    <row r="13" spans="1:13" x14ac:dyDescent="0.25">
      <c r="B13" s="1">
        <f>B12/B14</f>
        <v>0.22517241379310346</v>
      </c>
      <c r="C13" s="1">
        <f t="shared" ref="C13:F13" si="3">C12/C14</f>
        <v>0.22919999999999999</v>
      </c>
      <c r="D13" s="1"/>
      <c r="E13" s="1"/>
      <c r="F13" s="1">
        <f t="shared" si="3"/>
        <v>0.2</v>
      </c>
      <c r="G13" s="1"/>
      <c r="H13" s="5"/>
      <c r="I13" s="12"/>
      <c r="K13" s="5"/>
    </row>
    <row r="14" spans="1:13" x14ac:dyDescent="0.25">
      <c r="A14" t="s">
        <v>109</v>
      </c>
      <c r="B14" s="5">
        <f>C14+F14</f>
        <v>1450000000</v>
      </c>
      <c r="C14" s="8">
        <v>1250000000</v>
      </c>
      <c r="D14" s="8">
        <v>450000000</v>
      </c>
      <c r="E14" s="8">
        <v>1200000000</v>
      </c>
      <c r="F14" s="5">
        <v>200000000</v>
      </c>
      <c r="G14" s="5"/>
      <c r="I14" s="12"/>
      <c r="K14" s="5"/>
    </row>
    <row r="15" spans="1:13" x14ac:dyDescent="0.25">
      <c r="I15" s="12"/>
      <c r="K15" s="5"/>
    </row>
    <row r="16" spans="1:13" x14ac:dyDescent="0.25">
      <c r="I16" s="12"/>
      <c r="K16" s="5"/>
    </row>
    <row r="17" spans="1:14" x14ac:dyDescent="0.25">
      <c r="A17" s="7" t="s">
        <v>110</v>
      </c>
      <c r="B17" s="5">
        <f>SUM(C17:F17)</f>
        <v>1450000000</v>
      </c>
      <c r="C17" s="8">
        <v>1250000000</v>
      </c>
      <c r="D17" s="8"/>
      <c r="E17" s="8"/>
      <c r="F17" s="5">
        <v>200000000</v>
      </c>
      <c r="G17" s="5"/>
      <c r="I17" s="13" t="s">
        <v>122</v>
      </c>
      <c r="K17" s="5"/>
    </row>
    <row r="18" spans="1:14" x14ac:dyDescent="0.25">
      <c r="A18" s="9" t="s">
        <v>111</v>
      </c>
      <c r="B18" s="5">
        <f t="shared" ref="B18:B20" si="4">SUM(C18:F18)</f>
        <v>0</v>
      </c>
      <c r="C18" s="10">
        <f>C17-C14</f>
        <v>0</v>
      </c>
      <c r="D18" s="10"/>
      <c r="E18" s="10"/>
      <c r="F18" s="10">
        <f>F17-F14</f>
        <v>0</v>
      </c>
      <c r="G18" s="10"/>
      <c r="I18" s="20" t="s">
        <v>123</v>
      </c>
      <c r="J18" s="18"/>
      <c r="K18" s="19" t="s">
        <v>124</v>
      </c>
      <c r="L18" s="18"/>
      <c r="M18" s="19" t="s">
        <v>4</v>
      </c>
      <c r="N18" s="18"/>
    </row>
    <row r="19" spans="1:14" x14ac:dyDescent="0.25">
      <c r="A19" s="9" t="s">
        <v>112</v>
      </c>
      <c r="B19" s="5">
        <f t="shared" si="4"/>
        <v>0</v>
      </c>
      <c r="C19" s="10">
        <f>C18*L19/100</f>
        <v>0</v>
      </c>
      <c r="D19" s="10"/>
      <c r="E19" s="10"/>
      <c r="F19" s="10">
        <f>F18*N19/100</f>
        <v>0</v>
      </c>
      <c r="G19" s="10"/>
      <c r="I19" s="21">
        <v>29</v>
      </c>
      <c r="J19" s="16">
        <f>I19*J20/I20</f>
        <v>33.720930232558139</v>
      </c>
      <c r="K19" s="17">
        <v>29</v>
      </c>
      <c r="L19" s="16">
        <f>K19*L20/K20</f>
        <v>33.333333333333336</v>
      </c>
      <c r="M19" s="17">
        <v>30</v>
      </c>
      <c r="N19" s="16">
        <f>M19*N20/M20</f>
        <v>37.5</v>
      </c>
    </row>
    <row r="20" spans="1:14" x14ac:dyDescent="0.25">
      <c r="A20" t="s">
        <v>113</v>
      </c>
      <c r="B20" s="5">
        <f t="shared" si="4"/>
        <v>427500000</v>
      </c>
      <c r="C20" s="10">
        <f t="shared" ref="C20" si="5">C8+C19</f>
        <v>367500000</v>
      </c>
      <c r="D20" s="10"/>
      <c r="E20" s="10"/>
      <c r="F20" s="10">
        <f>F8+F19</f>
        <v>60000000</v>
      </c>
      <c r="G20" s="10"/>
      <c r="I20" s="22">
        <f>100-I6</f>
        <v>86</v>
      </c>
      <c r="J20" s="23">
        <v>100</v>
      </c>
      <c r="K20" s="24">
        <f>100-K6</f>
        <v>87</v>
      </c>
      <c r="L20" s="23">
        <v>100</v>
      </c>
      <c r="M20" s="24">
        <f>100-M6</f>
        <v>80</v>
      </c>
      <c r="N20" s="25">
        <v>100</v>
      </c>
    </row>
    <row r="21" spans="1:14" x14ac:dyDescent="0.25">
      <c r="A21" t="s">
        <v>114</v>
      </c>
      <c r="B21" s="10">
        <f>B20+B6</f>
        <v>631000000</v>
      </c>
      <c r="C21" s="10">
        <f>C20+C6</f>
        <v>531000000</v>
      </c>
      <c r="D21" s="10"/>
      <c r="E21" s="10"/>
      <c r="F21" s="10">
        <f>F20+F6</f>
        <v>100000000</v>
      </c>
      <c r="G21" s="10"/>
      <c r="I21" s="14"/>
      <c r="J21" s="15"/>
      <c r="K21" s="15"/>
      <c r="L21" s="15"/>
      <c r="M21" s="15"/>
      <c r="N21" s="15"/>
    </row>
    <row r="22" spans="1:14" x14ac:dyDescent="0.25">
      <c r="B22" s="10"/>
      <c r="C22" s="10"/>
      <c r="D22" s="10"/>
      <c r="E22" s="10"/>
      <c r="F22" s="10"/>
      <c r="G22" s="10"/>
    </row>
    <row r="23" spans="1:14" x14ac:dyDescent="0.25">
      <c r="A23" s="7" t="s">
        <v>115</v>
      </c>
      <c r="B23" s="5">
        <f>SUM(C23:F23)</f>
        <v>2600000000</v>
      </c>
      <c r="C23" s="5">
        <v>2300000000</v>
      </c>
      <c r="D23" s="5"/>
      <c r="E23" s="5"/>
      <c r="F23" s="11">
        <v>300000000</v>
      </c>
      <c r="G23" s="11"/>
      <c r="H23" s="5"/>
      <c r="I23" s="13" t="s">
        <v>104</v>
      </c>
      <c r="K23" s="5"/>
    </row>
    <row r="24" spans="1:14" x14ac:dyDescent="0.25">
      <c r="A24" s="9" t="s">
        <v>111</v>
      </c>
      <c r="B24" s="5">
        <f t="shared" ref="B24:B26" si="6">SUM(C24:F24)</f>
        <v>1150000000</v>
      </c>
      <c r="C24" s="10">
        <f>C23-C17</f>
        <v>1050000000</v>
      </c>
      <c r="D24" s="10"/>
      <c r="E24" s="10"/>
      <c r="F24" s="10">
        <f>F23-F17</f>
        <v>100000000</v>
      </c>
      <c r="G24" s="10"/>
      <c r="H24" s="10"/>
      <c r="I24" s="20" t="s">
        <v>123</v>
      </c>
      <c r="J24" s="18"/>
      <c r="K24" s="19" t="s">
        <v>124</v>
      </c>
      <c r="L24" s="18"/>
      <c r="M24" s="19" t="s">
        <v>4</v>
      </c>
      <c r="N24" s="18"/>
    </row>
    <row r="25" spans="1:14" x14ac:dyDescent="0.25">
      <c r="A25" s="9" t="s">
        <v>125</v>
      </c>
      <c r="B25" s="5">
        <f t="shared" si="6"/>
        <v>693620689.65517247</v>
      </c>
      <c r="C25" s="10">
        <f>C24*L25/100</f>
        <v>633620689.65517247</v>
      </c>
      <c r="D25" s="10"/>
      <c r="E25" s="10"/>
      <c r="F25" s="10">
        <f>F24*N25/100</f>
        <v>60000000</v>
      </c>
      <c r="G25" s="10"/>
      <c r="H25" s="29" t="s">
        <v>126</v>
      </c>
      <c r="I25" s="26">
        <v>34</v>
      </c>
      <c r="J25" s="16">
        <f>I25*J26/I26</f>
        <v>59.649122807017541</v>
      </c>
      <c r="K25" s="17">
        <v>35</v>
      </c>
      <c r="L25" s="16">
        <f>K25*L26/K26</f>
        <v>60.344827586206897</v>
      </c>
      <c r="M25" s="17">
        <v>30</v>
      </c>
      <c r="N25" s="16">
        <f>M25*N26/M26</f>
        <v>60</v>
      </c>
    </row>
    <row r="26" spans="1:14" x14ac:dyDescent="0.25">
      <c r="A26" s="6" t="s">
        <v>116</v>
      </c>
      <c r="B26" s="32">
        <f t="shared" si="6"/>
        <v>1185620689.6551723</v>
      </c>
      <c r="C26" s="31">
        <f>C10+C25</f>
        <v>1065620689.6551725</v>
      </c>
      <c r="D26" s="31"/>
      <c r="E26" s="31"/>
      <c r="F26" s="30">
        <f>F10+F25</f>
        <v>120000000</v>
      </c>
      <c r="G26" s="10"/>
      <c r="H26" s="10"/>
      <c r="I26" s="22">
        <f>100-I6-I7</f>
        <v>57</v>
      </c>
      <c r="J26" s="25">
        <v>100</v>
      </c>
      <c r="K26" s="24">
        <f>100-K6-K7</f>
        <v>58</v>
      </c>
      <c r="L26" s="25">
        <v>100</v>
      </c>
      <c r="M26" s="24">
        <f>100-M6-M7</f>
        <v>50</v>
      </c>
      <c r="N26" s="25">
        <v>100</v>
      </c>
    </row>
    <row r="27" spans="1:14" x14ac:dyDescent="0.25">
      <c r="A27" t="s">
        <v>117</v>
      </c>
      <c r="B27" s="10">
        <f>B26+B21</f>
        <v>1816620689.6551723</v>
      </c>
      <c r="C27" s="10">
        <f>C26+C21</f>
        <v>1596620689.6551723</v>
      </c>
      <c r="D27" s="10"/>
      <c r="E27" s="10"/>
      <c r="F27" s="10">
        <f>F26+F21</f>
        <v>220000000</v>
      </c>
      <c r="G27" s="10"/>
      <c r="H27" s="29" t="s">
        <v>127</v>
      </c>
      <c r="I27" s="26">
        <v>23</v>
      </c>
      <c r="J27" s="16">
        <f>I27*J28/I28</f>
        <v>40.350877192982459</v>
      </c>
      <c r="K27" s="17">
        <v>23</v>
      </c>
      <c r="L27" s="16">
        <f>K27*L28/K28</f>
        <v>39.655172413793103</v>
      </c>
      <c r="M27" s="17">
        <v>20</v>
      </c>
      <c r="N27" s="16">
        <f>M27*N28/M28</f>
        <v>40</v>
      </c>
    </row>
    <row r="28" spans="1:14" x14ac:dyDescent="0.25">
      <c r="H28" s="10"/>
      <c r="I28" s="22">
        <f>100-I6-I7</f>
        <v>57</v>
      </c>
      <c r="J28" s="25">
        <v>100</v>
      </c>
      <c r="K28" s="24">
        <f>100-K6-K7</f>
        <v>58</v>
      </c>
      <c r="L28" s="25">
        <v>100</v>
      </c>
      <c r="M28" s="24">
        <f>100-M6-M7</f>
        <v>50</v>
      </c>
      <c r="N28" s="25">
        <v>100</v>
      </c>
    </row>
    <row r="29" spans="1:14" x14ac:dyDescent="0.25">
      <c r="A29" s="7" t="s">
        <v>118</v>
      </c>
      <c r="B29" s="5">
        <f>SUM(C29:F29)</f>
        <v>2600000000</v>
      </c>
      <c r="C29" s="5">
        <v>2300000000</v>
      </c>
      <c r="D29" s="5"/>
      <c r="E29" s="5"/>
      <c r="F29" s="8">
        <v>300000000</v>
      </c>
      <c r="G29" s="10"/>
    </row>
    <row r="30" spans="1:14" x14ac:dyDescent="0.25">
      <c r="A30" s="9" t="s">
        <v>111</v>
      </c>
      <c r="B30" s="5">
        <f>SUM(C30:F30)</f>
        <v>1150000000</v>
      </c>
      <c r="C30" s="10">
        <f>C29-C17</f>
        <v>1050000000</v>
      </c>
      <c r="D30" s="10"/>
      <c r="E30" s="10"/>
      <c r="F30" s="10">
        <f t="shared" ref="F30" si="7">F29-F17</f>
        <v>100000000</v>
      </c>
      <c r="G30" s="10"/>
      <c r="H30" s="97" t="s">
        <v>128</v>
      </c>
      <c r="I30" s="97"/>
      <c r="J30" s="97"/>
      <c r="K30" s="97"/>
      <c r="L30" s="97"/>
      <c r="M30" s="97"/>
      <c r="N30" s="97"/>
    </row>
    <row r="31" spans="1:14" x14ac:dyDescent="0.25">
      <c r="A31" t="s">
        <v>131</v>
      </c>
      <c r="B31" s="5">
        <f t="shared" ref="B31:B32" si="8">SUM(C31:F31)</f>
        <v>456379310.34482759</v>
      </c>
      <c r="C31" s="10">
        <f>C30*L27/100</f>
        <v>416379310.34482759</v>
      </c>
      <c r="D31" s="10"/>
      <c r="E31" s="10"/>
      <c r="F31" s="10">
        <f>F30*N27/100</f>
        <v>40000000</v>
      </c>
      <c r="G31" s="10"/>
      <c r="H31" s="97"/>
      <c r="I31" s="97"/>
      <c r="J31" s="97"/>
      <c r="K31" s="97"/>
      <c r="L31" s="97"/>
      <c r="M31" s="97"/>
      <c r="N31" s="97"/>
    </row>
    <row r="32" spans="1:14" x14ac:dyDescent="0.25">
      <c r="A32" s="6" t="s">
        <v>119</v>
      </c>
      <c r="B32" s="32">
        <f t="shared" si="8"/>
        <v>782879310.34482765</v>
      </c>
      <c r="C32" s="30">
        <f>C12+C31</f>
        <v>702879310.34482765</v>
      </c>
      <c r="D32" s="30"/>
      <c r="E32" s="30"/>
      <c r="F32" s="30">
        <f>F12+F31</f>
        <v>80000000</v>
      </c>
      <c r="G32" s="10"/>
      <c r="H32" s="97"/>
      <c r="I32" s="97"/>
      <c r="J32" s="97"/>
      <c r="K32" s="97"/>
      <c r="L32" s="97"/>
      <c r="M32" s="97"/>
      <c r="N32" s="97"/>
    </row>
    <row r="33" spans="1:14" x14ac:dyDescent="0.25">
      <c r="A33" t="s">
        <v>120</v>
      </c>
      <c r="B33" s="10">
        <f>B32+B27</f>
        <v>2599500000</v>
      </c>
      <c r="C33" s="10">
        <f>C32+C27</f>
        <v>2299500000</v>
      </c>
      <c r="D33" s="10"/>
      <c r="E33" s="10"/>
      <c r="F33" s="10">
        <f t="shared" ref="F33" si="9">F32+F27</f>
        <v>300000000</v>
      </c>
      <c r="G33" s="10"/>
      <c r="H33" s="10"/>
    </row>
    <row r="34" spans="1:14" x14ac:dyDescent="0.25">
      <c r="H34" s="98" t="s">
        <v>129</v>
      </c>
      <c r="I34" s="98"/>
      <c r="J34" s="98"/>
      <c r="K34" s="98"/>
      <c r="L34" s="98"/>
      <c r="M34" s="98"/>
      <c r="N34" s="98"/>
    </row>
    <row r="35" spans="1:14" x14ac:dyDescent="0.25">
      <c r="A35" t="s">
        <v>130</v>
      </c>
      <c r="H35" s="98"/>
      <c r="I35" s="98"/>
      <c r="J35" s="98"/>
      <c r="K35" s="98"/>
      <c r="L35" s="98"/>
      <c r="M35" s="98"/>
      <c r="N35" s="98"/>
    </row>
    <row r="36" spans="1:14" x14ac:dyDescent="0.25">
      <c r="H36" s="98"/>
      <c r="I36" s="98"/>
      <c r="J36" s="98"/>
      <c r="K36" s="98"/>
      <c r="L36" s="98"/>
      <c r="M36" s="98"/>
      <c r="N36" s="98"/>
    </row>
  </sheetData>
  <mergeCells count="5">
    <mergeCell ref="B2:B3"/>
    <mergeCell ref="C2:F2"/>
    <mergeCell ref="I11:L12"/>
    <mergeCell ref="H30:N32"/>
    <mergeCell ref="H34:N36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36"/>
  <sheetViews>
    <sheetView workbookViewId="0">
      <selection activeCell="B17" sqref="B17"/>
    </sheetView>
  </sheetViews>
  <sheetFormatPr baseColWidth="10" defaultRowHeight="15" x14ac:dyDescent="0.25"/>
  <cols>
    <col min="1" max="1" width="29.85546875" customWidth="1"/>
    <col min="2" max="3" width="17.7109375" customWidth="1"/>
    <col min="4" max="4" width="15.42578125" customWidth="1"/>
    <col min="5" max="5" width="1.5703125" customWidth="1"/>
    <col min="6" max="6" width="9.28515625" customWidth="1"/>
    <col min="8" max="8" width="8.28515625" customWidth="1"/>
    <col min="9" max="9" width="8.140625" customWidth="1"/>
    <col min="10" max="10" width="7.140625" customWidth="1"/>
    <col min="11" max="11" width="12.140625" customWidth="1"/>
    <col min="12" max="12" width="8.140625" customWidth="1"/>
  </cols>
  <sheetData>
    <row r="2" spans="1:11" x14ac:dyDescent="0.25">
      <c r="B2" s="93" t="s">
        <v>46</v>
      </c>
      <c r="C2" s="95" t="s">
        <v>2</v>
      </c>
      <c r="D2" s="95"/>
      <c r="E2" s="27"/>
    </row>
    <row r="3" spans="1:11" ht="15.75" thickBot="1" x14ac:dyDescent="0.3">
      <c r="B3" s="94"/>
      <c r="C3" s="3" t="s">
        <v>47</v>
      </c>
      <c r="D3" s="3" t="s">
        <v>48</v>
      </c>
      <c r="E3" s="28"/>
    </row>
    <row r="4" spans="1:11" ht="15.75" thickTop="1" x14ac:dyDescent="0.25">
      <c r="A4" s="6" t="s">
        <v>132</v>
      </c>
    </row>
    <row r="6" spans="1:11" x14ac:dyDescent="0.25">
      <c r="A6" t="s">
        <v>106</v>
      </c>
      <c r="B6" s="5">
        <f>SUM(C6:D6)</f>
        <v>459</v>
      </c>
      <c r="C6" s="5">
        <v>109</v>
      </c>
      <c r="D6" s="5">
        <v>350</v>
      </c>
      <c r="E6" s="5"/>
      <c r="G6" s="5">
        <v>18</v>
      </c>
      <c r="I6">
        <v>13</v>
      </c>
      <c r="K6">
        <v>20</v>
      </c>
    </row>
    <row r="7" spans="1:11" x14ac:dyDescent="0.25">
      <c r="B7" s="33">
        <f>B6/B14</f>
        <v>0.17770034843205576</v>
      </c>
      <c r="C7" s="33">
        <f t="shared" ref="C7:D7" si="0">C6/C14</f>
        <v>0.13085234093637454</v>
      </c>
      <c r="D7" s="33">
        <f t="shared" si="0"/>
        <v>0.2</v>
      </c>
      <c r="E7" s="1"/>
      <c r="G7">
        <v>30</v>
      </c>
      <c r="I7">
        <v>29</v>
      </c>
      <c r="K7">
        <v>30</v>
      </c>
    </row>
    <row r="8" spans="1:11" x14ac:dyDescent="0.25">
      <c r="A8" t="s">
        <v>107</v>
      </c>
      <c r="B8" s="5">
        <f>SUM(C8:D8)</f>
        <v>770</v>
      </c>
      <c r="C8" s="5">
        <v>245</v>
      </c>
      <c r="D8" s="5">
        <v>525</v>
      </c>
      <c r="E8" s="5"/>
      <c r="G8" s="5">
        <v>31</v>
      </c>
      <c r="I8" s="5">
        <v>35</v>
      </c>
      <c r="K8">
        <v>30</v>
      </c>
    </row>
    <row r="9" spans="1:11" x14ac:dyDescent="0.25">
      <c r="B9" s="33">
        <f>B8/B14</f>
        <v>0.29810298102981031</v>
      </c>
      <c r="C9" s="33">
        <f t="shared" ref="C9:D9" si="1">C8/C14</f>
        <v>0.29411764705882354</v>
      </c>
      <c r="D9" s="33">
        <f t="shared" si="1"/>
        <v>0.3</v>
      </c>
      <c r="E9" s="1"/>
      <c r="G9">
        <v>21</v>
      </c>
      <c r="I9">
        <v>23</v>
      </c>
      <c r="K9">
        <v>20</v>
      </c>
    </row>
    <row r="10" spans="1:11" x14ac:dyDescent="0.25">
      <c r="A10" t="s">
        <v>104</v>
      </c>
      <c r="B10" s="5">
        <f>SUM(C10:D10)</f>
        <v>813</v>
      </c>
      <c r="C10" s="5">
        <v>288</v>
      </c>
      <c r="D10" s="5">
        <v>525</v>
      </c>
      <c r="E10" s="5"/>
      <c r="F10" s="5"/>
    </row>
    <row r="11" spans="1:11" x14ac:dyDescent="0.25">
      <c r="B11" s="33">
        <f>B10/B14</f>
        <v>0.31475029036004648</v>
      </c>
      <c r="C11" s="33">
        <f t="shared" ref="C11:D11" si="2">C10/C14</f>
        <v>0.34573829531812728</v>
      </c>
      <c r="D11" s="33">
        <f t="shared" si="2"/>
        <v>0.3</v>
      </c>
      <c r="E11" s="1"/>
      <c r="F11" s="5"/>
      <c r="G11" s="96" t="s">
        <v>133</v>
      </c>
      <c r="H11" s="96"/>
      <c r="I11" s="96"/>
      <c r="J11" s="96"/>
    </row>
    <row r="12" spans="1:11" x14ac:dyDescent="0.25">
      <c r="A12" t="s">
        <v>108</v>
      </c>
      <c r="B12" s="5">
        <f>SUM(C12:D12)</f>
        <v>541</v>
      </c>
      <c r="C12" s="5">
        <v>191</v>
      </c>
      <c r="D12" s="5">
        <v>350</v>
      </c>
      <c r="E12" s="5"/>
      <c r="F12" s="5"/>
      <c r="G12" s="96"/>
      <c r="H12" s="96"/>
      <c r="I12" s="96"/>
      <c r="J12" s="96"/>
    </row>
    <row r="13" spans="1:11" x14ac:dyDescent="0.25">
      <c r="B13" s="33">
        <f>B12/B14</f>
        <v>0.2094463801780875</v>
      </c>
      <c r="C13" s="33">
        <f t="shared" ref="C13" si="3">C12/C14</f>
        <v>0.22929171668667467</v>
      </c>
      <c r="D13" s="33">
        <f>D12/D14</f>
        <v>0.2</v>
      </c>
      <c r="E13" s="1"/>
      <c r="F13" s="5"/>
      <c r="G13" s="12"/>
      <c r="I13" s="5"/>
    </row>
    <row r="14" spans="1:11" x14ac:dyDescent="0.25">
      <c r="A14" t="s">
        <v>109</v>
      </c>
      <c r="B14" s="5">
        <f>SUM(C14:D14)</f>
        <v>2583</v>
      </c>
      <c r="C14" s="8">
        <v>833</v>
      </c>
      <c r="D14" s="5">
        <v>1750</v>
      </c>
      <c r="E14" s="5"/>
      <c r="G14" s="12"/>
      <c r="I14" s="5"/>
    </row>
    <row r="15" spans="1:11" x14ac:dyDescent="0.25">
      <c r="G15" s="12"/>
      <c r="I15" s="5"/>
    </row>
    <row r="16" spans="1:11" x14ac:dyDescent="0.25">
      <c r="G16" s="12"/>
      <c r="I16" s="5"/>
    </row>
    <row r="17" spans="1:12" x14ac:dyDescent="0.25">
      <c r="A17" s="7" t="s">
        <v>110</v>
      </c>
      <c r="B17" s="5">
        <f>SUM(C17:D17)</f>
        <v>2583</v>
      </c>
      <c r="C17" s="8">
        <v>833</v>
      </c>
      <c r="D17" s="5">
        <v>1750</v>
      </c>
      <c r="E17" s="5"/>
      <c r="G17" s="13" t="s">
        <v>122</v>
      </c>
      <c r="I17" s="5"/>
    </row>
    <row r="18" spans="1:12" x14ac:dyDescent="0.25">
      <c r="A18" s="9" t="s">
        <v>111</v>
      </c>
      <c r="B18" s="5">
        <f t="shared" ref="B18:B20" si="4">SUM(C18:D18)</f>
        <v>0</v>
      </c>
      <c r="C18" s="10">
        <f>C17-C14</f>
        <v>0</v>
      </c>
      <c r="D18" s="10">
        <f>D17-D14</f>
        <v>0</v>
      </c>
      <c r="E18" s="10"/>
      <c r="G18" s="20" t="s">
        <v>123</v>
      </c>
      <c r="H18" s="18"/>
      <c r="I18" s="19" t="s">
        <v>124</v>
      </c>
      <c r="J18" s="18"/>
      <c r="K18" s="19" t="s">
        <v>4</v>
      </c>
      <c r="L18" s="18"/>
    </row>
    <row r="19" spans="1:12" x14ac:dyDescent="0.25">
      <c r="A19" s="9" t="s">
        <v>112</v>
      </c>
      <c r="B19" s="5">
        <f t="shared" si="4"/>
        <v>0</v>
      </c>
      <c r="C19" s="10">
        <f>C18*J19/100</f>
        <v>0</v>
      </c>
      <c r="D19" s="10">
        <f>D18*L19/100</f>
        <v>0</v>
      </c>
      <c r="E19" s="10"/>
      <c r="G19" s="21">
        <v>29</v>
      </c>
      <c r="H19" s="16">
        <f>G19*H20/G20</f>
        <v>35.365853658536587</v>
      </c>
      <c r="I19" s="17">
        <v>29</v>
      </c>
      <c r="J19" s="16">
        <f>I19*J20/I20</f>
        <v>33.333333333333336</v>
      </c>
      <c r="K19" s="17">
        <v>30</v>
      </c>
      <c r="L19" s="16">
        <f>K19*L20/K20</f>
        <v>37.5</v>
      </c>
    </row>
    <row r="20" spans="1:12" x14ac:dyDescent="0.25">
      <c r="A20" t="s">
        <v>113</v>
      </c>
      <c r="B20" s="32">
        <f t="shared" si="4"/>
        <v>770</v>
      </c>
      <c r="C20" s="30">
        <f t="shared" ref="C20" si="5">C8+C19</f>
        <v>245</v>
      </c>
      <c r="D20" s="30">
        <f>D8+D19</f>
        <v>525</v>
      </c>
      <c r="E20" s="10"/>
      <c r="G20" s="22">
        <f>100-G6</f>
        <v>82</v>
      </c>
      <c r="H20" s="23">
        <v>100</v>
      </c>
      <c r="I20" s="24">
        <f>100-I6</f>
        <v>87</v>
      </c>
      <c r="J20" s="23">
        <v>100</v>
      </c>
      <c r="K20" s="24">
        <f>100-K6</f>
        <v>80</v>
      </c>
      <c r="L20" s="25">
        <v>100</v>
      </c>
    </row>
    <row r="21" spans="1:12" x14ac:dyDescent="0.25">
      <c r="A21" t="s">
        <v>114</v>
      </c>
      <c r="B21" s="10">
        <f>B20+B6</f>
        <v>1229</v>
      </c>
      <c r="C21" s="10">
        <f>C20+C6</f>
        <v>354</v>
      </c>
      <c r="D21" s="10">
        <f>D20+D6</f>
        <v>875</v>
      </c>
      <c r="E21" s="10"/>
      <c r="G21" s="14"/>
      <c r="H21" s="15"/>
      <c r="I21" s="15"/>
      <c r="J21" s="15"/>
      <c r="K21" s="15"/>
      <c r="L21" s="15"/>
    </row>
    <row r="22" spans="1:12" x14ac:dyDescent="0.25">
      <c r="B22" s="10"/>
      <c r="C22" s="10"/>
      <c r="D22" s="10"/>
      <c r="E22" s="10"/>
    </row>
    <row r="23" spans="1:12" x14ac:dyDescent="0.25">
      <c r="A23" s="7" t="s">
        <v>115</v>
      </c>
      <c r="B23" s="5">
        <f>SUM(C23:D23)</f>
        <v>4033</v>
      </c>
      <c r="C23" s="5">
        <v>1533</v>
      </c>
      <c r="D23" s="5">
        <v>2500</v>
      </c>
      <c r="E23" s="11"/>
      <c r="F23" s="5"/>
      <c r="G23" s="13" t="s">
        <v>104</v>
      </c>
      <c r="I23" s="5"/>
    </row>
    <row r="24" spans="1:12" x14ac:dyDescent="0.25">
      <c r="A24" s="9" t="s">
        <v>111</v>
      </c>
      <c r="B24" s="5">
        <f t="shared" ref="B24:B26" si="6">SUM(C24:D24)</f>
        <v>1450</v>
      </c>
      <c r="C24" s="10">
        <f>C23-C17</f>
        <v>700</v>
      </c>
      <c r="D24" s="10">
        <f>D23-D17</f>
        <v>750</v>
      </c>
      <c r="E24" s="10"/>
      <c r="F24" s="10"/>
      <c r="G24" s="20" t="s">
        <v>123</v>
      </c>
      <c r="H24" s="18"/>
      <c r="I24" s="19" t="s">
        <v>124</v>
      </c>
      <c r="J24" s="18"/>
      <c r="K24" s="19" t="s">
        <v>4</v>
      </c>
      <c r="L24" s="18"/>
    </row>
    <row r="25" spans="1:12" x14ac:dyDescent="0.25">
      <c r="A25" s="9" t="s">
        <v>125</v>
      </c>
      <c r="B25" s="5">
        <f t="shared" si="6"/>
        <v>872.41379310344826</v>
      </c>
      <c r="C25" s="10">
        <f>C24*J25/100</f>
        <v>422.41379310344826</v>
      </c>
      <c r="D25" s="10">
        <f>D24*L25/100</f>
        <v>450</v>
      </c>
      <c r="E25" s="10"/>
      <c r="F25" s="29" t="s">
        <v>126</v>
      </c>
      <c r="G25" s="26">
        <v>34</v>
      </c>
      <c r="H25" s="16">
        <f>G25*H26/G26</f>
        <v>65.384615384615387</v>
      </c>
      <c r="I25" s="17">
        <v>35</v>
      </c>
      <c r="J25" s="16">
        <f>I25*J26/I26</f>
        <v>60.344827586206897</v>
      </c>
      <c r="K25" s="17">
        <v>30</v>
      </c>
      <c r="L25" s="16">
        <f>K25*L26/K26</f>
        <v>60</v>
      </c>
    </row>
    <row r="26" spans="1:12" x14ac:dyDescent="0.25">
      <c r="A26" s="6" t="s">
        <v>116</v>
      </c>
      <c r="B26" s="32">
        <f t="shared" si="6"/>
        <v>1685.4137931034484</v>
      </c>
      <c r="C26" s="30">
        <f>C10+C25</f>
        <v>710.41379310344826</v>
      </c>
      <c r="D26" s="30">
        <f>D10+D25</f>
        <v>975</v>
      </c>
      <c r="E26" s="10"/>
      <c r="F26" s="10"/>
      <c r="G26" s="22">
        <f>100-G6-G7</f>
        <v>52</v>
      </c>
      <c r="H26" s="25">
        <v>100</v>
      </c>
      <c r="I26" s="24">
        <f>100-I6-I7</f>
        <v>58</v>
      </c>
      <c r="J26" s="25">
        <v>100</v>
      </c>
      <c r="K26" s="24">
        <f>100-K6-K7</f>
        <v>50</v>
      </c>
      <c r="L26" s="25">
        <v>100</v>
      </c>
    </row>
    <row r="27" spans="1:12" x14ac:dyDescent="0.25">
      <c r="A27" t="s">
        <v>117</v>
      </c>
      <c r="B27" s="10">
        <f>B26+B21</f>
        <v>2914.4137931034484</v>
      </c>
      <c r="C27" s="10">
        <f>C26+C21</f>
        <v>1064.4137931034484</v>
      </c>
      <c r="D27" s="10">
        <f>D26+D21</f>
        <v>1850</v>
      </c>
      <c r="E27" s="10"/>
      <c r="F27" s="29" t="s">
        <v>127</v>
      </c>
      <c r="G27" s="26">
        <v>23</v>
      </c>
      <c r="H27" s="16">
        <f>G27*H28/G28</f>
        <v>44.230769230769234</v>
      </c>
      <c r="I27" s="17">
        <v>23</v>
      </c>
      <c r="J27" s="16">
        <f>I27*J28/I28</f>
        <v>39.655172413793103</v>
      </c>
      <c r="K27" s="17">
        <v>20</v>
      </c>
      <c r="L27" s="16">
        <f>K27*L28/K28</f>
        <v>40</v>
      </c>
    </row>
    <row r="28" spans="1:12" x14ac:dyDescent="0.25">
      <c r="F28" s="10"/>
      <c r="G28" s="22">
        <f>100-G6-G7</f>
        <v>52</v>
      </c>
      <c r="H28" s="25">
        <v>100</v>
      </c>
      <c r="I28" s="24">
        <f>100-I6-I7</f>
        <v>58</v>
      </c>
      <c r="J28" s="25">
        <v>100</v>
      </c>
      <c r="K28" s="24">
        <f>100-K6-K7</f>
        <v>50</v>
      </c>
      <c r="L28" s="25">
        <v>100</v>
      </c>
    </row>
    <row r="29" spans="1:12" x14ac:dyDescent="0.25">
      <c r="A29" s="7" t="s">
        <v>118</v>
      </c>
      <c r="B29" s="5">
        <f>SUM(C29:D29)</f>
        <v>4033</v>
      </c>
      <c r="C29" s="5">
        <v>1533</v>
      </c>
      <c r="D29" s="5">
        <v>2500</v>
      </c>
      <c r="E29" s="10"/>
    </row>
    <row r="30" spans="1:12" x14ac:dyDescent="0.25">
      <c r="A30" s="9" t="s">
        <v>111</v>
      </c>
      <c r="B30" s="5">
        <f t="shared" ref="B30:B31" si="7">SUM(C30:D30)</f>
        <v>1450</v>
      </c>
      <c r="C30" s="10">
        <f t="shared" ref="C30:D30" si="8">C29-C17</f>
        <v>700</v>
      </c>
      <c r="D30" s="10">
        <f t="shared" si="8"/>
        <v>750</v>
      </c>
      <c r="E30" s="10"/>
      <c r="F30" s="97" t="s">
        <v>128</v>
      </c>
      <c r="G30" s="97"/>
      <c r="H30" s="97"/>
      <c r="I30" s="97"/>
      <c r="J30" s="97"/>
      <c r="K30" s="97"/>
      <c r="L30" s="97"/>
    </row>
    <row r="31" spans="1:12" x14ac:dyDescent="0.25">
      <c r="A31" t="s">
        <v>131</v>
      </c>
      <c r="B31" s="5">
        <f t="shared" si="7"/>
        <v>577.58620689655174</v>
      </c>
      <c r="C31" s="10">
        <f>C30*J27/100</f>
        <v>277.58620689655174</v>
      </c>
      <c r="D31" s="10">
        <f>D30*L27/100</f>
        <v>300</v>
      </c>
      <c r="E31" s="10"/>
      <c r="F31" s="97"/>
      <c r="G31" s="97"/>
      <c r="H31" s="97"/>
      <c r="I31" s="97"/>
      <c r="J31" s="97"/>
      <c r="K31" s="97"/>
      <c r="L31" s="97"/>
    </row>
    <row r="32" spans="1:12" x14ac:dyDescent="0.25">
      <c r="A32" s="6" t="s">
        <v>119</v>
      </c>
      <c r="B32" s="32">
        <f>SUM(C32:D32)</f>
        <v>1118.5862068965516</v>
      </c>
      <c r="C32" s="30">
        <f>C12+C31</f>
        <v>468.58620689655174</v>
      </c>
      <c r="D32" s="30">
        <f>D12+D31</f>
        <v>650</v>
      </c>
      <c r="E32" s="10"/>
      <c r="F32" s="97"/>
      <c r="G32" s="97"/>
      <c r="H32" s="97"/>
      <c r="I32" s="97"/>
      <c r="J32" s="97"/>
      <c r="K32" s="97"/>
      <c r="L32" s="97"/>
    </row>
    <row r="33" spans="1:12" x14ac:dyDescent="0.25">
      <c r="A33" t="s">
        <v>120</v>
      </c>
      <c r="B33" s="10">
        <f>B32+B27</f>
        <v>4033</v>
      </c>
      <c r="C33" s="10">
        <f>C32+C27</f>
        <v>1533</v>
      </c>
      <c r="D33" s="10">
        <f t="shared" ref="D33" si="9">D32+D27</f>
        <v>2500</v>
      </c>
      <c r="E33" s="10"/>
      <c r="F33" s="10"/>
    </row>
    <row r="34" spans="1:12" x14ac:dyDescent="0.25">
      <c r="F34" s="98" t="s">
        <v>129</v>
      </c>
      <c r="G34" s="98"/>
      <c r="H34" s="98"/>
      <c r="I34" s="98"/>
      <c r="J34" s="98"/>
      <c r="K34" s="98"/>
      <c r="L34" s="98"/>
    </row>
    <row r="35" spans="1:12" x14ac:dyDescent="0.25">
      <c r="A35" t="s">
        <v>130</v>
      </c>
      <c r="F35" s="98"/>
      <c r="G35" s="98"/>
      <c r="H35" s="98"/>
      <c r="I35" s="98"/>
      <c r="J35" s="98"/>
      <c r="K35" s="98"/>
      <c r="L35" s="98"/>
    </row>
    <row r="36" spans="1:12" x14ac:dyDescent="0.25">
      <c r="F36" s="98"/>
      <c r="G36" s="98"/>
      <c r="H36" s="98"/>
      <c r="I36" s="98"/>
      <c r="J36" s="98"/>
      <c r="K36" s="98"/>
      <c r="L36" s="98"/>
    </row>
  </sheetData>
  <mergeCells count="5">
    <mergeCell ref="B2:B3"/>
    <mergeCell ref="C2:D2"/>
    <mergeCell ref="G11:J12"/>
    <mergeCell ref="F30:L32"/>
    <mergeCell ref="F34:L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Anual</vt:lpstr>
      <vt:lpstr>Calculo gastos prog. x Trim</vt:lpstr>
      <vt:lpstr>Calculo Ben. prog. x Trim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2012-02-07T15:57:09Z</dcterms:created>
  <dcterms:modified xsi:type="dcterms:W3CDTF">2013-10-29T20:56:16Z</dcterms:modified>
</cp:coreProperties>
</file>