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driguez\Documents\Hermes Cliente\files\"/>
    </mc:Choice>
  </mc:AlternateContent>
  <bookViews>
    <workbookView xWindow="360" yWindow="75" windowWidth="10515" windowHeight="4905" activeTab="6"/>
  </bookViews>
  <sheets>
    <sheet name="I trimestre" sheetId="4" r:id="rId1"/>
    <sheet name="II Trimestre" sheetId="5" r:id="rId2"/>
    <sheet name="III Trimestre" sheetId="6" r:id="rId3"/>
    <sheet name="IV Trimestre" sheetId="7" r:id="rId4"/>
    <sheet name="I Semestre" sheetId="1" r:id="rId5"/>
    <sheet name="III T Acumulado" sheetId="2" r:id="rId6"/>
    <sheet name="Anual" sheetId="3" r:id="rId7"/>
  </sheets>
  <calcPr calcId="152511"/>
</workbook>
</file>

<file path=xl/calcChain.xml><?xml version="1.0" encoding="utf-8"?>
<calcChain xmlns="http://schemas.openxmlformats.org/spreadsheetml/2006/main">
  <c r="F62" i="7" l="1"/>
  <c r="C63" i="7"/>
  <c r="D63" i="7"/>
  <c r="E63" i="7"/>
  <c r="F63" i="7"/>
  <c r="F66" i="7"/>
  <c r="C67" i="7"/>
  <c r="D67" i="7"/>
  <c r="E67" i="7"/>
  <c r="F67" i="7"/>
  <c r="F62" i="6"/>
  <c r="C63" i="6"/>
  <c r="D63" i="6"/>
  <c r="E63" i="6"/>
  <c r="F63" i="6"/>
  <c r="F66" i="6"/>
  <c r="C67" i="6"/>
  <c r="D67" i="6"/>
  <c r="E67" i="6"/>
  <c r="F67" i="6"/>
  <c r="C62" i="5"/>
  <c r="D62" i="5"/>
  <c r="E62" i="5"/>
  <c r="F62" i="5"/>
  <c r="C63" i="5"/>
  <c r="D63" i="5"/>
  <c r="E63" i="5"/>
  <c r="F63" i="5"/>
  <c r="C66" i="5"/>
  <c r="D66" i="5"/>
  <c r="E66" i="5"/>
  <c r="F66" i="5"/>
  <c r="C67" i="5"/>
  <c r="D67" i="5"/>
  <c r="E67" i="5"/>
  <c r="F67" i="5"/>
  <c r="C62" i="4"/>
  <c r="D62" i="4"/>
  <c r="F62" i="4"/>
  <c r="C63" i="4"/>
  <c r="D63" i="4"/>
  <c r="E63" i="4"/>
  <c r="F63" i="4"/>
  <c r="C66" i="4"/>
  <c r="D66" i="4"/>
  <c r="F66" i="4"/>
  <c r="C67" i="4"/>
  <c r="D67" i="4"/>
  <c r="E67" i="4"/>
  <c r="F67" i="4"/>
  <c r="B25" i="3" l="1"/>
  <c r="B25" i="2"/>
  <c r="B25" i="1"/>
  <c r="C64" i="6" l="1"/>
  <c r="D64" i="6"/>
  <c r="E64" i="6"/>
  <c r="F64" i="6"/>
  <c r="C64" i="5"/>
  <c r="D64" i="5"/>
  <c r="E64" i="5"/>
  <c r="F64" i="5"/>
  <c r="C64" i="7"/>
  <c r="D64" i="7"/>
  <c r="E64" i="7"/>
  <c r="F64" i="7"/>
  <c r="C64" i="4"/>
  <c r="D64" i="4"/>
  <c r="E64" i="4"/>
  <c r="F64" i="4"/>
  <c r="B10" i="4"/>
  <c r="C21" i="7" l="1"/>
  <c r="C21" i="4" l="1"/>
  <c r="F14" i="3" l="1"/>
  <c r="E14" i="3"/>
  <c r="D14" i="3"/>
  <c r="C14" i="3"/>
  <c r="F14" i="2"/>
  <c r="E14" i="2"/>
  <c r="D14" i="2"/>
  <c r="C14" i="2"/>
  <c r="F14" i="1"/>
  <c r="E14" i="1"/>
  <c r="D14" i="1"/>
  <c r="C14" i="1"/>
  <c r="E11" i="7"/>
  <c r="D11" i="7"/>
  <c r="C11" i="7"/>
  <c r="E11" i="6"/>
  <c r="D11" i="6"/>
  <c r="C11" i="6"/>
  <c r="B11" i="4"/>
  <c r="D18" i="7"/>
  <c r="D18" i="6"/>
  <c r="E18" i="7"/>
  <c r="E18" i="6"/>
  <c r="E18" i="4"/>
  <c r="D20" i="1"/>
  <c r="E20" i="1"/>
  <c r="F20" i="1"/>
  <c r="C20" i="1"/>
  <c r="D20" i="2"/>
  <c r="E20" i="2"/>
  <c r="F20" i="2"/>
  <c r="C20" i="2"/>
  <c r="D20" i="3"/>
  <c r="E20" i="3"/>
  <c r="F20" i="3"/>
  <c r="C20" i="3"/>
  <c r="C21" i="6"/>
  <c r="C18" i="6"/>
  <c r="C21" i="5"/>
  <c r="E21" i="5"/>
  <c r="D21" i="5"/>
  <c r="F21" i="5"/>
  <c r="C62" i="6" l="1"/>
  <c r="C66" i="6"/>
  <c r="E62" i="4"/>
  <c r="E66" i="4"/>
  <c r="E62" i="7"/>
  <c r="E66" i="7"/>
  <c r="D66" i="7"/>
  <c r="D62" i="7"/>
  <c r="E62" i="6"/>
  <c r="E66" i="6"/>
  <c r="D62" i="6"/>
  <c r="D66" i="6"/>
  <c r="C62" i="7"/>
  <c r="C66" i="7"/>
  <c r="B21" i="5"/>
  <c r="D21" i="4" l="1"/>
  <c r="E21" i="4"/>
  <c r="F21" i="4"/>
  <c r="E10" i="5" l="1"/>
  <c r="D10" i="5"/>
  <c r="C10" i="5"/>
  <c r="E46" i="4" l="1"/>
  <c r="F45" i="4"/>
  <c r="E45" i="4"/>
  <c r="C45" i="4"/>
  <c r="D45" i="4"/>
  <c r="F42" i="4"/>
  <c r="F41" i="4"/>
  <c r="C24" i="7" l="1"/>
  <c r="D24" i="7"/>
  <c r="E24" i="7"/>
  <c r="F24" i="7"/>
  <c r="C24" i="6"/>
  <c r="D24" i="6"/>
  <c r="E24" i="6"/>
  <c r="F24" i="6"/>
  <c r="C24" i="5"/>
  <c r="D24" i="5"/>
  <c r="E24" i="5"/>
  <c r="F24" i="5"/>
  <c r="F13" i="3"/>
  <c r="E13" i="3"/>
  <c r="D13" i="3"/>
  <c r="C13" i="3"/>
  <c r="F13" i="2"/>
  <c r="E13" i="2"/>
  <c r="D13" i="2"/>
  <c r="C13" i="2"/>
  <c r="F13" i="1"/>
  <c r="E13" i="1"/>
  <c r="D13" i="1"/>
  <c r="C13" i="1"/>
  <c r="B13" i="7"/>
  <c r="B13" i="6"/>
  <c r="B13" i="5"/>
  <c r="B13" i="4"/>
  <c r="F18" i="3"/>
  <c r="F19" i="3"/>
  <c r="F17" i="3"/>
  <c r="F33" i="3" s="1"/>
  <c r="E18" i="3"/>
  <c r="E19" i="3"/>
  <c r="E17" i="3"/>
  <c r="E33" i="3" s="1"/>
  <c r="D18" i="3"/>
  <c r="D19" i="3"/>
  <c r="D17" i="3"/>
  <c r="D33" i="3" s="1"/>
  <c r="C18" i="3"/>
  <c r="C19" i="3"/>
  <c r="C17" i="3"/>
  <c r="C33" i="3" s="1"/>
  <c r="F11" i="3"/>
  <c r="F41" i="3" s="1"/>
  <c r="F12" i="3"/>
  <c r="F10" i="3"/>
  <c r="E11" i="3"/>
  <c r="E12" i="3"/>
  <c r="E42" i="3" s="1"/>
  <c r="E10" i="3"/>
  <c r="D11" i="3"/>
  <c r="D41" i="3" s="1"/>
  <c r="D12" i="3"/>
  <c r="D50" i="3" s="1"/>
  <c r="D10" i="3"/>
  <c r="C11" i="3"/>
  <c r="C12" i="3"/>
  <c r="C50" i="3" s="1"/>
  <c r="C10" i="3"/>
  <c r="F18" i="2"/>
  <c r="F19" i="2"/>
  <c r="F17" i="2"/>
  <c r="F33" i="2" s="1"/>
  <c r="E18" i="2"/>
  <c r="E19" i="2"/>
  <c r="E17" i="2"/>
  <c r="E33" i="2" s="1"/>
  <c r="D18" i="2"/>
  <c r="D19" i="2"/>
  <c r="D17" i="2"/>
  <c r="C18" i="2"/>
  <c r="C19" i="2"/>
  <c r="C17" i="2"/>
  <c r="C33" i="2" s="1"/>
  <c r="F11" i="2"/>
  <c r="F41" i="2" s="1"/>
  <c r="F12" i="2"/>
  <c r="F42" i="2" s="1"/>
  <c r="F10" i="2"/>
  <c r="E11" i="2"/>
  <c r="E12" i="2"/>
  <c r="E42" i="2" s="1"/>
  <c r="E10" i="2"/>
  <c r="D11" i="2"/>
  <c r="D12" i="2"/>
  <c r="D10" i="2"/>
  <c r="C11" i="2"/>
  <c r="C12" i="2"/>
  <c r="C50" i="2" s="1"/>
  <c r="C10" i="2"/>
  <c r="F18" i="1"/>
  <c r="F19" i="1"/>
  <c r="F17" i="1"/>
  <c r="F33" i="1" s="1"/>
  <c r="E18" i="1"/>
  <c r="E19" i="1"/>
  <c r="E17" i="1"/>
  <c r="D18" i="1"/>
  <c r="D19" i="1"/>
  <c r="D17" i="1"/>
  <c r="D33" i="1" s="1"/>
  <c r="C18" i="1"/>
  <c r="C19" i="1"/>
  <c r="C17" i="1"/>
  <c r="C33" i="1" s="1"/>
  <c r="C35" i="1" s="1"/>
  <c r="F11" i="1"/>
  <c r="F41" i="1" s="1"/>
  <c r="F12" i="1"/>
  <c r="F10" i="1"/>
  <c r="E11" i="1"/>
  <c r="E12" i="1"/>
  <c r="E10" i="1"/>
  <c r="D11" i="1"/>
  <c r="D12" i="1"/>
  <c r="D10" i="1"/>
  <c r="C11" i="1"/>
  <c r="C41" i="1" s="1"/>
  <c r="C12" i="1"/>
  <c r="C50" i="1" s="1"/>
  <c r="C10" i="1"/>
  <c r="E50" i="3"/>
  <c r="B20" i="3"/>
  <c r="B14" i="3"/>
  <c r="E41" i="2"/>
  <c r="B20" i="2"/>
  <c r="B14" i="2"/>
  <c r="E42" i="1"/>
  <c r="E33" i="1"/>
  <c r="E35" i="1" s="1"/>
  <c r="B20" i="1"/>
  <c r="B14" i="1"/>
  <c r="F57" i="7"/>
  <c r="E57" i="7"/>
  <c r="D57" i="7"/>
  <c r="C57" i="7"/>
  <c r="F51" i="7"/>
  <c r="E51" i="7"/>
  <c r="D51" i="7"/>
  <c r="C51" i="7"/>
  <c r="F50" i="7"/>
  <c r="F52" i="7" s="1"/>
  <c r="E50" i="7"/>
  <c r="E52" i="7" s="1"/>
  <c r="D50" i="7"/>
  <c r="D52" i="7" s="1"/>
  <c r="C50" i="7"/>
  <c r="C52" i="7" s="1"/>
  <c r="F46" i="7"/>
  <c r="E46" i="7"/>
  <c r="D46" i="7"/>
  <c r="C46" i="7"/>
  <c r="F45" i="7"/>
  <c r="F47" i="7" s="1"/>
  <c r="E45" i="7"/>
  <c r="E47" i="7" s="1"/>
  <c r="D45" i="7"/>
  <c r="D47" i="7" s="1"/>
  <c r="C45" i="7"/>
  <c r="C47" i="7" s="1"/>
  <c r="F42" i="7"/>
  <c r="E42" i="7"/>
  <c r="D42" i="7"/>
  <c r="C42" i="7"/>
  <c r="F41" i="7"/>
  <c r="E41" i="7"/>
  <c r="D41" i="7"/>
  <c r="C41" i="7"/>
  <c r="F34" i="7"/>
  <c r="E34" i="7"/>
  <c r="E36" i="7" s="1"/>
  <c r="D34" i="7"/>
  <c r="C34" i="7"/>
  <c r="C36" i="7" s="1"/>
  <c r="F33" i="7"/>
  <c r="F35" i="7" s="1"/>
  <c r="E33" i="7"/>
  <c r="E58" i="7" s="1"/>
  <c r="D33" i="7"/>
  <c r="D35" i="7" s="1"/>
  <c r="C33" i="7"/>
  <c r="C58" i="7" s="1"/>
  <c r="F21" i="7"/>
  <c r="F54" i="7" s="1"/>
  <c r="E21" i="7"/>
  <c r="E54" i="7" s="1"/>
  <c r="D21" i="7"/>
  <c r="D54" i="7" s="1"/>
  <c r="C54" i="7"/>
  <c r="B20" i="7"/>
  <c r="B19" i="7"/>
  <c r="B18" i="7"/>
  <c r="B17" i="7"/>
  <c r="B33" i="7" s="1"/>
  <c r="B14" i="7"/>
  <c r="B12" i="7"/>
  <c r="B11" i="7"/>
  <c r="B41" i="7" s="1"/>
  <c r="B10" i="7"/>
  <c r="F57" i="6"/>
  <c r="E57" i="6"/>
  <c r="D57" i="6"/>
  <c r="C57" i="6"/>
  <c r="F51" i="6"/>
  <c r="E51" i="6"/>
  <c r="D51" i="6"/>
  <c r="C51" i="6"/>
  <c r="F50" i="6"/>
  <c r="F52" i="6" s="1"/>
  <c r="E50" i="6"/>
  <c r="E52" i="6" s="1"/>
  <c r="D50" i="6"/>
  <c r="D52" i="6" s="1"/>
  <c r="C50" i="6"/>
  <c r="C52" i="6" s="1"/>
  <c r="F46" i="6"/>
  <c r="E46" i="6"/>
  <c r="D46" i="6"/>
  <c r="C46" i="6"/>
  <c r="F45" i="6"/>
  <c r="F47" i="6" s="1"/>
  <c r="F65" i="6" s="1"/>
  <c r="E45" i="6"/>
  <c r="E47" i="6" s="1"/>
  <c r="E65" i="6" s="1"/>
  <c r="D45" i="6"/>
  <c r="D47" i="6" s="1"/>
  <c r="D65" i="6" s="1"/>
  <c r="C45" i="6"/>
  <c r="C47" i="6" s="1"/>
  <c r="C65" i="6" s="1"/>
  <c r="F42" i="6"/>
  <c r="E42" i="6"/>
  <c r="D42" i="6"/>
  <c r="C42" i="6"/>
  <c r="F41" i="6"/>
  <c r="E41" i="6"/>
  <c r="D41" i="6"/>
  <c r="C41" i="6"/>
  <c r="F34" i="6"/>
  <c r="E34" i="6"/>
  <c r="E36" i="6" s="1"/>
  <c r="D34" i="6"/>
  <c r="C34" i="6"/>
  <c r="C36" i="6" s="1"/>
  <c r="F33" i="6"/>
  <c r="F35" i="6" s="1"/>
  <c r="E33" i="6"/>
  <c r="E35" i="6" s="1"/>
  <c r="D33" i="6"/>
  <c r="D35" i="6" s="1"/>
  <c r="C33" i="6"/>
  <c r="C35" i="6" s="1"/>
  <c r="F21" i="6"/>
  <c r="F54" i="6" s="1"/>
  <c r="E21" i="6"/>
  <c r="E54" i="6" s="1"/>
  <c r="D21" i="6"/>
  <c r="D54" i="6" s="1"/>
  <c r="C54" i="6"/>
  <c r="B20" i="6"/>
  <c r="B19" i="6"/>
  <c r="B18" i="6"/>
  <c r="B17" i="6"/>
  <c r="B33" i="6" s="1"/>
  <c r="B14" i="6"/>
  <c r="B12" i="6"/>
  <c r="B11" i="6"/>
  <c r="B41" i="6" s="1"/>
  <c r="B10" i="6"/>
  <c r="F54" i="5"/>
  <c r="E54" i="5"/>
  <c r="D54" i="5"/>
  <c r="C54" i="5"/>
  <c r="F51" i="5"/>
  <c r="E51" i="5"/>
  <c r="D51" i="5"/>
  <c r="C51" i="5"/>
  <c r="F50" i="5"/>
  <c r="F52" i="5" s="1"/>
  <c r="E50" i="5"/>
  <c r="E52" i="5" s="1"/>
  <c r="D50" i="5"/>
  <c r="D52" i="5" s="1"/>
  <c r="C50" i="5"/>
  <c r="F46" i="5"/>
  <c r="E46" i="5"/>
  <c r="D46" i="5"/>
  <c r="C46" i="5"/>
  <c r="F45" i="5"/>
  <c r="F47" i="5" s="1"/>
  <c r="E45" i="5"/>
  <c r="E47" i="5" s="1"/>
  <c r="D45" i="5"/>
  <c r="D47" i="5" s="1"/>
  <c r="C45" i="5"/>
  <c r="C47" i="5" s="1"/>
  <c r="F42" i="5"/>
  <c r="E42" i="5"/>
  <c r="D42" i="5"/>
  <c r="C42" i="5"/>
  <c r="F41" i="5"/>
  <c r="E41" i="5"/>
  <c r="D41" i="5"/>
  <c r="C41" i="5"/>
  <c r="F34" i="5"/>
  <c r="F36" i="5" s="1"/>
  <c r="E34" i="5"/>
  <c r="E36" i="5" s="1"/>
  <c r="D34" i="5"/>
  <c r="C34" i="5"/>
  <c r="F33" i="5"/>
  <c r="E33" i="5"/>
  <c r="E35" i="5" s="1"/>
  <c r="D33" i="5"/>
  <c r="D35" i="5" s="1"/>
  <c r="C33" i="5"/>
  <c r="C35" i="5" s="1"/>
  <c r="B20" i="5"/>
  <c r="B19" i="5"/>
  <c r="B18" i="5"/>
  <c r="B17" i="5"/>
  <c r="B33" i="5" s="1"/>
  <c r="B14" i="5"/>
  <c r="B12" i="5"/>
  <c r="B11" i="5"/>
  <c r="B41" i="5" s="1"/>
  <c r="E57" i="5"/>
  <c r="D57" i="5"/>
  <c r="C57" i="5"/>
  <c r="B10" i="5"/>
  <c r="E58" i="4"/>
  <c r="D58" i="4"/>
  <c r="C58" i="4"/>
  <c r="E57" i="4"/>
  <c r="D57" i="4"/>
  <c r="C57" i="4"/>
  <c r="F54" i="4"/>
  <c r="E54" i="4"/>
  <c r="D54" i="4"/>
  <c r="C54" i="4"/>
  <c r="F51" i="4"/>
  <c r="E51" i="4"/>
  <c r="D51" i="4"/>
  <c r="C51" i="4"/>
  <c r="F50" i="4"/>
  <c r="F52" i="4" s="1"/>
  <c r="E50" i="4"/>
  <c r="D50" i="4"/>
  <c r="D52" i="4" s="1"/>
  <c r="C50" i="4"/>
  <c r="F46" i="4"/>
  <c r="F47" i="4" s="1"/>
  <c r="D46" i="4"/>
  <c r="D47" i="4" s="1"/>
  <c r="C46" i="4"/>
  <c r="C47" i="4" s="1"/>
  <c r="E47" i="4"/>
  <c r="E42" i="4"/>
  <c r="D42" i="4"/>
  <c r="C42" i="4"/>
  <c r="E41" i="4"/>
  <c r="D41" i="4"/>
  <c r="C41" i="4"/>
  <c r="F34" i="4"/>
  <c r="F36" i="4" s="1"/>
  <c r="E34" i="4"/>
  <c r="E36" i="4" s="1"/>
  <c r="D34" i="4"/>
  <c r="D36" i="4" s="1"/>
  <c r="C34" i="4"/>
  <c r="C36" i="4" s="1"/>
  <c r="F33" i="4"/>
  <c r="E33" i="4"/>
  <c r="E35" i="4" s="1"/>
  <c r="D33" i="4"/>
  <c r="D35" i="4" s="1"/>
  <c r="C33" i="4"/>
  <c r="C35" i="4" s="1"/>
  <c r="B24" i="4"/>
  <c r="B70" i="4" s="1"/>
  <c r="B21" i="4"/>
  <c r="B20" i="4"/>
  <c r="B19" i="4"/>
  <c r="B18" i="4"/>
  <c r="B17" i="4"/>
  <c r="B33" i="4" s="1"/>
  <c r="B35" i="4" s="1"/>
  <c r="B14" i="4"/>
  <c r="B12" i="4"/>
  <c r="B57" i="4" s="1"/>
  <c r="B17" i="1" l="1"/>
  <c r="B33" i="1" s="1"/>
  <c r="B10" i="1"/>
  <c r="E57" i="1"/>
  <c r="B17" i="2"/>
  <c r="B33" i="2" s="1"/>
  <c r="B62" i="4"/>
  <c r="B66" i="4"/>
  <c r="B64" i="5"/>
  <c r="B63" i="5"/>
  <c r="B67" i="5"/>
  <c r="B71" i="5"/>
  <c r="B63" i="6"/>
  <c r="B67" i="6"/>
  <c r="B63" i="7"/>
  <c r="B67" i="7"/>
  <c r="B63" i="4"/>
  <c r="B67" i="4"/>
  <c r="B71" i="4"/>
  <c r="B62" i="5"/>
  <c r="B66" i="5"/>
  <c r="B62" i="6"/>
  <c r="B66" i="6"/>
  <c r="B24" i="7"/>
  <c r="B70" i="7" s="1"/>
  <c r="B62" i="7"/>
  <c r="B66" i="7"/>
  <c r="C63" i="1"/>
  <c r="C67" i="1"/>
  <c r="D24" i="1"/>
  <c r="D62" i="1"/>
  <c r="D66" i="1"/>
  <c r="E51" i="1"/>
  <c r="E63" i="1"/>
  <c r="E67" i="1"/>
  <c r="F24" i="1"/>
  <c r="F62" i="1"/>
  <c r="F66" i="1"/>
  <c r="C63" i="2"/>
  <c r="C67" i="2"/>
  <c r="D24" i="2"/>
  <c r="D62" i="2"/>
  <c r="D66" i="2"/>
  <c r="E63" i="2"/>
  <c r="E67" i="2"/>
  <c r="F24" i="2"/>
  <c r="F62" i="2"/>
  <c r="F66" i="2"/>
  <c r="C63" i="3"/>
  <c r="C67" i="3"/>
  <c r="D24" i="3"/>
  <c r="D62" i="3"/>
  <c r="D66" i="3"/>
  <c r="E63" i="3"/>
  <c r="E67" i="3"/>
  <c r="F24" i="3"/>
  <c r="F62" i="3"/>
  <c r="F66" i="3"/>
  <c r="C24" i="1"/>
  <c r="C62" i="1"/>
  <c r="C66" i="1"/>
  <c r="D63" i="1"/>
  <c r="D67" i="1"/>
  <c r="E24" i="1"/>
  <c r="E62" i="1"/>
  <c r="E66" i="1"/>
  <c r="F63" i="1"/>
  <c r="F67" i="1"/>
  <c r="C24" i="2"/>
  <c r="C62" i="2"/>
  <c r="C66" i="2"/>
  <c r="D63" i="2"/>
  <c r="D67" i="2"/>
  <c r="E24" i="2"/>
  <c r="E62" i="2"/>
  <c r="E66" i="2"/>
  <c r="F63" i="2"/>
  <c r="F67" i="2"/>
  <c r="C62" i="3"/>
  <c r="C66" i="3"/>
  <c r="D63" i="3"/>
  <c r="D67" i="3"/>
  <c r="E62" i="3"/>
  <c r="E66" i="3"/>
  <c r="F63" i="3"/>
  <c r="F67" i="3"/>
  <c r="D33" i="2"/>
  <c r="D35" i="2" s="1"/>
  <c r="D35" i="3"/>
  <c r="E50" i="1"/>
  <c r="E52" i="1" s="1"/>
  <c r="E45" i="2"/>
  <c r="D41" i="1"/>
  <c r="E34" i="1"/>
  <c r="E36" i="1" s="1"/>
  <c r="E59" i="1" s="1"/>
  <c r="C52" i="5"/>
  <c r="E52" i="4"/>
  <c r="E45" i="1"/>
  <c r="B71" i="6"/>
  <c r="B64" i="6"/>
  <c r="B71" i="7"/>
  <c r="B64" i="7"/>
  <c r="B21" i="7"/>
  <c r="D51" i="1"/>
  <c r="D64" i="1"/>
  <c r="F51" i="1"/>
  <c r="F64" i="1"/>
  <c r="D51" i="2"/>
  <c r="D64" i="2"/>
  <c r="F64" i="2"/>
  <c r="D64" i="3"/>
  <c r="F64" i="3"/>
  <c r="B58" i="4"/>
  <c r="B64" i="4"/>
  <c r="C59" i="4"/>
  <c r="C34" i="1"/>
  <c r="C36" i="1" s="1"/>
  <c r="C59" i="1" s="1"/>
  <c r="C64" i="1"/>
  <c r="E21" i="1"/>
  <c r="E54" i="1" s="1"/>
  <c r="E64" i="1"/>
  <c r="C51" i="2"/>
  <c r="C52" i="2" s="1"/>
  <c r="C64" i="2"/>
  <c r="E51" i="2"/>
  <c r="E52" i="2" s="1"/>
  <c r="E64" i="2"/>
  <c r="C51" i="3"/>
  <c r="C52" i="3" s="1"/>
  <c r="C64" i="3"/>
  <c r="B17" i="3"/>
  <c r="B33" i="3" s="1"/>
  <c r="B35" i="3" s="1"/>
  <c r="E51" i="3"/>
  <c r="E52" i="3" s="1"/>
  <c r="E64" i="3"/>
  <c r="E50" i="2"/>
  <c r="C52" i="4"/>
  <c r="B45" i="6"/>
  <c r="E41" i="1"/>
  <c r="D41" i="2"/>
  <c r="B11" i="2"/>
  <c r="B41" i="2" s="1"/>
  <c r="F50" i="2"/>
  <c r="B12" i="1"/>
  <c r="B50" i="1" s="1"/>
  <c r="B45" i="4"/>
  <c r="B41" i="4"/>
  <c r="D35" i="1"/>
  <c r="F35" i="1"/>
  <c r="F35" i="2"/>
  <c r="C42" i="1"/>
  <c r="C45" i="1"/>
  <c r="C51" i="1"/>
  <c r="C52" i="1" s="1"/>
  <c r="C21" i="2"/>
  <c r="C54" i="2" s="1"/>
  <c r="C42" i="2"/>
  <c r="B12" i="3"/>
  <c r="C21" i="3"/>
  <c r="C54" i="3" s="1"/>
  <c r="C42" i="3"/>
  <c r="C57" i="1"/>
  <c r="B11" i="1"/>
  <c r="B41" i="1" s="1"/>
  <c r="C45" i="2"/>
  <c r="B12" i="2"/>
  <c r="B42" i="2" s="1"/>
  <c r="E57" i="2"/>
  <c r="F57" i="2"/>
  <c r="C57" i="3"/>
  <c r="E57" i="3"/>
  <c r="B13" i="2"/>
  <c r="D46" i="2"/>
  <c r="D65" i="4"/>
  <c r="E21" i="2"/>
  <c r="E54" i="2" s="1"/>
  <c r="B21" i="6"/>
  <c r="B35" i="6"/>
  <c r="D58" i="6"/>
  <c r="F58" i="6"/>
  <c r="E34" i="2"/>
  <c r="E36" i="2" s="1"/>
  <c r="E59" i="2" s="1"/>
  <c r="E21" i="3"/>
  <c r="E54" i="3" s="1"/>
  <c r="E34" i="3"/>
  <c r="E36" i="3" s="1"/>
  <c r="E46" i="1"/>
  <c r="E46" i="2"/>
  <c r="C46" i="3"/>
  <c r="B24" i="6"/>
  <c r="B70" i="6" s="1"/>
  <c r="C34" i="2"/>
  <c r="C36" i="2" s="1"/>
  <c r="C21" i="1"/>
  <c r="C54" i="1" s="1"/>
  <c r="C34" i="3"/>
  <c r="C36" i="3" s="1"/>
  <c r="D58" i="5"/>
  <c r="C58" i="5"/>
  <c r="E58" i="5"/>
  <c r="C36" i="5"/>
  <c r="F57" i="3"/>
  <c r="B46" i="5"/>
  <c r="C46" i="1"/>
  <c r="C46" i="2"/>
  <c r="B19" i="2"/>
  <c r="B13" i="1"/>
  <c r="B54" i="6"/>
  <c r="B34" i="5"/>
  <c r="B58" i="5" s="1"/>
  <c r="B24" i="5"/>
  <c r="B70" i="5" s="1"/>
  <c r="B18" i="1"/>
  <c r="B18" i="2"/>
  <c r="B18" i="3"/>
  <c r="B19" i="1"/>
  <c r="B51" i="1" s="1"/>
  <c r="B34" i="4"/>
  <c r="B54" i="4"/>
  <c r="F65" i="4"/>
  <c r="B51" i="4"/>
  <c r="E46" i="3"/>
  <c r="B35" i="7"/>
  <c r="B54" i="7"/>
  <c r="F35" i="3"/>
  <c r="E24" i="3"/>
  <c r="C24" i="3"/>
  <c r="B11" i="3"/>
  <c r="B41" i="3" s="1"/>
  <c r="B45" i="7"/>
  <c r="D58" i="7"/>
  <c r="F58" i="7"/>
  <c r="E35" i="3"/>
  <c r="B10" i="2"/>
  <c r="B35" i="2" s="1"/>
  <c r="B57" i="5"/>
  <c r="B35" i="5"/>
  <c r="B13" i="3"/>
  <c r="B10" i="3"/>
  <c r="B19" i="3"/>
  <c r="C41" i="3"/>
  <c r="E41" i="3"/>
  <c r="E45" i="3"/>
  <c r="E47" i="3" s="1"/>
  <c r="C41" i="2"/>
  <c r="C45" i="3"/>
  <c r="C35" i="2"/>
  <c r="E35" i="2"/>
  <c r="B36" i="4"/>
  <c r="D21" i="1"/>
  <c r="D54" i="1" s="1"/>
  <c r="F21" i="1"/>
  <c r="F54" i="1" s="1"/>
  <c r="D34" i="1"/>
  <c r="D58" i="1" s="1"/>
  <c r="F34" i="1"/>
  <c r="F58" i="1" s="1"/>
  <c r="D42" i="1"/>
  <c r="F42" i="1"/>
  <c r="D45" i="1"/>
  <c r="F45" i="1"/>
  <c r="D46" i="1"/>
  <c r="F46" i="1"/>
  <c r="D50" i="1"/>
  <c r="F50" i="1"/>
  <c r="D57" i="1"/>
  <c r="F57" i="1"/>
  <c r="D21" i="2"/>
  <c r="D54" i="2" s="1"/>
  <c r="F21" i="2"/>
  <c r="F54" i="2" s="1"/>
  <c r="D34" i="2"/>
  <c r="D36" i="2" s="1"/>
  <c r="F34" i="2"/>
  <c r="F58" i="2" s="1"/>
  <c r="F45" i="2"/>
  <c r="F46" i="2"/>
  <c r="F51" i="2"/>
  <c r="D21" i="3"/>
  <c r="D54" i="3" s="1"/>
  <c r="F21" i="3"/>
  <c r="F54" i="3" s="1"/>
  <c r="D34" i="3"/>
  <c r="D36" i="3" s="1"/>
  <c r="D59" i="3" s="1"/>
  <c r="F34" i="3"/>
  <c r="F58" i="3" s="1"/>
  <c r="D42" i="3"/>
  <c r="F42" i="3"/>
  <c r="D45" i="3"/>
  <c r="F45" i="3"/>
  <c r="D46" i="3"/>
  <c r="F46" i="3"/>
  <c r="F50" i="3"/>
  <c r="D51" i="3"/>
  <c r="D52" i="3" s="1"/>
  <c r="F51" i="3"/>
  <c r="D57" i="3"/>
  <c r="C35" i="3"/>
  <c r="F52" i="2"/>
  <c r="D42" i="2"/>
  <c r="D45" i="2"/>
  <c r="D50" i="2"/>
  <c r="D52" i="2" s="1"/>
  <c r="D57" i="2"/>
  <c r="C57" i="2"/>
  <c r="B35" i="1"/>
  <c r="B34" i="3"/>
  <c r="B50" i="3"/>
  <c r="C58" i="1"/>
  <c r="E58" i="1"/>
  <c r="C65" i="7"/>
  <c r="E65" i="7"/>
  <c r="D65" i="7"/>
  <c r="F65" i="7"/>
  <c r="B34" i="7"/>
  <c r="B58" i="7" s="1"/>
  <c r="C35" i="7"/>
  <c r="C59" i="7" s="1"/>
  <c r="E35" i="7"/>
  <c r="E59" i="7" s="1"/>
  <c r="D36" i="7"/>
  <c r="D59" i="7" s="1"/>
  <c r="F36" i="7"/>
  <c r="F59" i="7" s="1"/>
  <c r="B42" i="7"/>
  <c r="B46" i="7"/>
  <c r="B47" i="7" s="1"/>
  <c r="B50" i="7"/>
  <c r="B57" i="7"/>
  <c r="B51" i="7"/>
  <c r="C59" i="6"/>
  <c r="E59" i="6"/>
  <c r="B34" i="6"/>
  <c r="D36" i="6"/>
  <c r="D59" i="6" s="1"/>
  <c r="F36" i="6"/>
  <c r="F59" i="6" s="1"/>
  <c r="B42" i="6"/>
  <c r="B46" i="6"/>
  <c r="B47" i="6" s="1"/>
  <c r="B50" i="6"/>
  <c r="B57" i="6"/>
  <c r="C58" i="6"/>
  <c r="E58" i="6"/>
  <c r="B51" i="6"/>
  <c r="C59" i="5"/>
  <c r="C65" i="5"/>
  <c r="E65" i="5"/>
  <c r="E59" i="5"/>
  <c r="D65" i="5"/>
  <c r="F65" i="5"/>
  <c r="B45" i="5"/>
  <c r="B51" i="5"/>
  <c r="B54" i="5"/>
  <c r="D36" i="5"/>
  <c r="D59" i="5" s="1"/>
  <c r="B42" i="5"/>
  <c r="B50" i="5"/>
  <c r="B59" i="4"/>
  <c r="D59" i="4"/>
  <c r="E59" i="4"/>
  <c r="C65" i="4"/>
  <c r="E65" i="4"/>
  <c r="B42" i="4"/>
  <c r="B46" i="4"/>
  <c r="B50" i="4"/>
  <c r="B52" i="4" l="1"/>
  <c r="B47" i="4"/>
  <c r="D36" i="1"/>
  <c r="D59" i="1" s="1"/>
  <c r="C47" i="3"/>
  <c r="C65" i="3" s="1"/>
  <c r="E47" i="2"/>
  <c r="D47" i="2"/>
  <c r="D65" i="2" s="1"/>
  <c r="F52" i="1"/>
  <c r="B51" i="3"/>
  <c r="B52" i="3" s="1"/>
  <c r="B63" i="3"/>
  <c r="B67" i="3"/>
  <c r="B24" i="3"/>
  <c r="B70" i="3" s="1"/>
  <c r="B62" i="3"/>
  <c r="B66" i="3"/>
  <c r="B24" i="1"/>
  <c r="B70" i="1" s="1"/>
  <c r="B62" i="1"/>
  <c r="B66" i="1"/>
  <c r="B34" i="1"/>
  <c r="B63" i="1"/>
  <c r="B67" i="1"/>
  <c r="B24" i="2"/>
  <c r="B70" i="2" s="1"/>
  <c r="B62" i="2"/>
  <c r="B66" i="2"/>
  <c r="B34" i="2"/>
  <c r="B63" i="2"/>
  <c r="B67" i="2"/>
  <c r="C47" i="2"/>
  <c r="C65" i="2" s="1"/>
  <c r="B57" i="2"/>
  <c r="D58" i="2"/>
  <c r="D59" i="2"/>
  <c r="D52" i="1"/>
  <c r="E47" i="1"/>
  <c r="B45" i="1"/>
  <c r="B57" i="1"/>
  <c r="B42" i="1"/>
  <c r="E58" i="2"/>
  <c r="E58" i="3"/>
  <c r="F36" i="3"/>
  <c r="F59" i="3" s="1"/>
  <c r="B45" i="2"/>
  <c r="B57" i="3"/>
  <c r="B51" i="2"/>
  <c r="C58" i="2"/>
  <c r="B46" i="2"/>
  <c r="B47" i="2" s="1"/>
  <c r="C58" i="3"/>
  <c r="C59" i="3"/>
  <c r="B71" i="3"/>
  <c r="B64" i="3"/>
  <c r="B71" i="1"/>
  <c r="B64" i="1"/>
  <c r="B71" i="2"/>
  <c r="B64" i="2"/>
  <c r="C59" i="2"/>
  <c r="E59" i="3"/>
  <c r="B21" i="3"/>
  <c r="D58" i="3"/>
  <c r="B50" i="2"/>
  <c r="B45" i="3"/>
  <c r="B36" i="5"/>
  <c r="B59" i="5" s="1"/>
  <c r="B47" i="5"/>
  <c r="B65" i="5" s="1"/>
  <c r="B46" i="1"/>
  <c r="B21" i="1"/>
  <c r="B54" i="1" s="1"/>
  <c r="B42" i="3"/>
  <c r="C47" i="1"/>
  <c r="E65" i="1"/>
  <c r="E65" i="2"/>
  <c r="B46" i="3"/>
  <c r="B54" i="3"/>
  <c r="B52" i="7"/>
  <c r="B52" i="5"/>
  <c r="C65" i="1"/>
  <c r="E65" i="3"/>
  <c r="B65" i="7"/>
  <c r="F52" i="3"/>
  <c r="D47" i="3"/>
  <c r="D65" i="3" s="1"/>
  <c r="F47" i="1"/>
  <c r="F65" i="1" s="1"/>
  <c r="B65" i="4"/>
  <c r="F36" i="1"/>
  <c r="F59" i="1" s="1"/>
  <c r="F36" i="2"/>
  <c r="F59" i="2" s="1"/>
  <c r="B21" i="2"/>
  <c r="B54" i="2" s="1"/>
  <c r="F47" i="3"/>
  <c r="F65" i="3" s="1"/>
  <c r="F47" i="2"/>
  <c r="F65" i="2" s="1"/>
  <c r="D47" i="1"/>
  <c r="D65" i="1" s="1"/>
  <c r="B52" i="1"/>
  <c r="B58" i="3"/>
  <c r="B36" i="3"/>
  <c r="B59" i="3" s="1"/>
  <c r="B58" i="2"/>
  <c r="B36" i="2"/>
  <c r="B59" i="2" s="1"/>
  <c r="B58" i="1"/>
  <c r="B36" i="1"/>
  <c r="B59" i="1" s="1"/>
  <c r="B36" i="7"/>
  <c r="B59" i="7" s="1"/>
  <c r="B65" i="6"/>
  <c r="B52" i="6"/>
  <c r="B58" i="6"/>
  <c r="B36" i="6"/>
  <c r="B59" i="6" s="1"/>
  <c r="B47" i="1" l="1"/>
  <c r="B52" i="2"/>
  <c r="B65" i="2"/>
  <c r="B65" i="1"/>
  <c r="B47" i="3"/>
  <c r="B65" i="3" s="1"/>
</calcChain>
</file>

<file path=xl/comments1.xml><?xml version="1.0" encoding="utf-8"?>
<comments xmlns="http://schemas.openxmlformats.org/spreadsheetml/2006/main">
  <authors>
    <author>Catherine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No se toma en cuenta la modif que hicieron en agosto para cambiar las metas de enero-julio</t>
        </r>
      </text>
    </comment>
  </commentList>
</comments>
</file>

<file path=xl/comments2.xml><?xml version="1.0" encoding="utf-8"?>
<comments xmlns="http://schemas.openxmlformats.org/spreadsheetml/2006/main">
  <authors>
    <author>Catherine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No se toma en cuenta la modif que hicieron en agosto para cambiar las metas de enero-julio</t>
        </r>
      </text>
    </comment>
  </commentList>
</comments>
</file>

<file path=xl/sharedStrings.xml><?xml version="1.0" encoding="utf-8"?>
<sst xmlns="http://schemas.openxmlformats.org/spreadsheetml/2006/main" count="511" uniqueCount="130">
  <si>
    <t>Indicadores propuestos aplicado a PRONAE. Primer trimestre 2011</t>
  </si>
  <si>
    <t>Indicador</t>
  </si>
  <si>
    <t>Total programa</t>
  </si>
  <si>
    <t>Productos</t>
  </si>
  <si>
    <t>Obra comunal</t>
  </si>
  <si>
    <t>Apoyo Capac.</t>
  </si>
  <si>
    <t>Ideas produc.</t>
  </si>
  <si>
    <t>Emergencia</t>
  </si>
  <si>
    <t>Insumos</t>
  </si>
  <si>
    <t xml:space="preserve">Beneficiarios </t>
  </si>
  <si>
    <t>Efectivos 1T 2010</t>
  </si>
  <si>
    <t>Programados 1T 2011</t>
  </si>
  <si>
    <t>Efectivos 1T 2011</t>
  </si>
  <si>
    <t>Programados año 2011</t>
  </si>
  <si>
    <t>Gasto FODESAF</t>
  </si>
  <si>
    <t>En transferencias 1T 2011</t>
  </si>
  <si>
    <t>Ingresos FODESAF</t>
  </si>
  <si>
    <t>Otros insumos</t>
  </si>
  <si>
    <t>IPC (1T 2010)</t>
  </si>
  <si>
    <t>IPC (1T 2011)</t>
  </si>
  <si>
    <t>Población objetivo</t>
  </si>
  <si>
    <t>Cálculos intermedios</t>
  </si>
  <si>
    <t>Gasto efectivo real 1T 2010</t>
  </si>
  <si>
    <t>Gasto efectivo real 1T 2011</t>
  </si>
  <si>
    <t>Gasto efectivo real por beneficiario 1T 2010</t>
  </si>
  <si>
    <t>Gasto efectivo real por beneficiario 1T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</si>
  <si>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</si>
  <si>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</si>
  <si>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</si>
  <si>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</si>
  <si>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</si>
  <si>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</si>
  <si>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</si>
  <si>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</si>
  <si>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</si>
  <si>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</si>
  <si>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</si>
  <si>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</si>
  <si>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</si>
  <si>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</si>
  <si>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</si>
  <si>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>n.a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</si>
  <si>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</si>
  <si>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</si>
  <si>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</si>
  <si>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</si>
  <si>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</si>
  <si>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</si>
  <si>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</si>
  <si>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Indicadores propuestos aplicado a PRONAE. Segundo trimestre 2011</t>
  </si>
  <si>
    <t>Efectivos 2T 2010</t>
  </si>
  <si>
    <t>Programados 2T 2011</t>
  </si>
  <si>
    <t>Efectivos 2T 2011</t>
  </si>
  <si>
    <t>Efectivos2T 2010</t>
  </si>
  <si>
    <t>En transferencias 2T 2011</t>
  </si>
  <si>
    <t>IPC (2T 2010)</t>
  </si>
  <si>
    <t>IPC (2T 2011)</t>
  </si>
  <si>
    <t>Gasto efectivo real 2T 2010</t>
  </si>
  <si>
    <t>Gasto efectivo real 2T 2011</t>
  </si>
  <si>
    <t>Gasto efectivo real por beneficiario 2T 2010</t>
  </si>
  <si>
    <t>Gasto efectivo real por beneficiario 2T 2011</t>
  </si>
  <si>
    <t>Fuentes:</t>
  </si>
  <si>
    <t>Indicadores propuestos aplicado a PRONAE. Tercer trimestre 2011</t>
  </si>
  <si>
    <t>Efectivos 3T 2010</t>
  </si>
  <si>
    <t>Programados 3T 2011</t>
  </si>
  <si>
    <t>Efectivos 3T 2011</t>
  </si>
  <si>
    <t>Efectivos3T 2010</t>
  </si>
  <si>
    <t>En transferencias 3T 2011</t>
  </si>
  <si>
    <t>IPC (3T 2010)</t>
  </si>
  <si>
    <t>IPC (3T 2011)</t>
  </si>
  <si>
    <t>Gasto efectivo real 3T 2010</t>
  </si>
  <si>
    <t>Gasto efectivo real 3T 2011</t>
  </si>
  <si>
    <t>Gasto efectivo real por beneficiario 3T 2010</t>
  </si>
  <si>
    <t>Gasto efectivo real por beneficiario 3T 2011</t>
  </si>
  <si>
    <t>Indicadores propuestos aplicado a PRONAE. Cuarto trimestre 2011</t>
  </si>
  <si>
    <t>Efectivos 4T 2010</t>
  </si>
  <si>
    <t>Programados 4T 2011</t>
  </si>
  <si>
    <t>Efectivos 4T 2011</t>
  </si>
  <si>
    <t>En transferencias 4T 2011</t>
  </si>
  <si>
    <t>IPC (4T 2010)</t>
  </si>
  <si>
    <t>IPC (4T 2011)</t>
  </si>
  <si>
    <t>Gasto efectivo real 4T 2010</t>
  </si>
  <si>
    <t>Gasto efectivo real 4T 2011</t>
  </si>
  <si>
    <t>Gasto efectivo real por beneficiario 4T 2010</t>
  </si>
  <si>
    <t>Gasto efectivo real por beneficiario 4T 2011</t>
  </si>
  <si>
    <t>Indicadores propuestos aplicado a PRONAE. Primer Semestre 2011</t>
  </si>
  <si>
    <t>Efectivos 1S 2010</t>
  </si>
  <si>
    <t>Programados 1S 2011</t>
  </si>
  <si>
    <t>Efectivos 1S 2011</t>
  </si>
  <si>
    <t>Efectivos1S 2010</t>
  </si>
  <si>
    <t>En transferencias 1S 2011</t>
  </si>
  <si>
    <t>IPC (1S 2010)</t>
  </si>
  <si>
    <t>IPC (1S 2011)</t>
  </si>
  <si>
    <t>Gasto efectivo real 1S 2010</t>
  </si>
  <si>
    <t>Gasto efectivo real 1S 2011</t>
  </si>
  <si>
    <t>Gasto efectivo real por beneficiario 1S 2010</t>
  </si>
  <si>
    <t>Gasto efectivo real por beneficiario 1S 2011</t>
  </si>
  <si>
    <t>Indicadores propuestos aplicado a PRONAE. Tercer trimestre ACUMULADO 2011</t>
  </si>
  <si>
    <t>Indicadores propuestos aplicado a PRONAE. Año 2011</t>
  </si>
  <si>
    <t>Efectivos  2010</t>
  </si>
  <si>
    <t>Programados  2011</t>
  </si>
  <si>
    <t>Efectivos  2011</t>
  </si>
  <si>
    <t>Efectivos 2010</t>
  </si>
  <si>
    <t>En transferencias  2011</t>
  </si>
  <si>
    <t>IPC ( 2010)</t>
  </si>
  <si>
    <t>IPC ( 2011)</t>
  </si>
  <si>
    <t>Gasto efectivo real  2010</t>
  </si>
  <si>
    <t>Gasto efectivo real  2011</t>
  </si>
  <si>
    <t>Gasto efectivo real por beneficiario  2010</t>
  </si>
  <si>
    <t>Gasto efectivo real por beneficiario  2011</t>
  </si>
  <si>
    <t>Subsidios</t>
  </si>
  <si>
    <t xml:space="preserve">Gasto efectivo por subsidio (GEB) </t>
  </si>
  <si>
    <t>Liquidación 2010 Pronae, Desaf</t>
  </si>
  <si>
    <t>Informes Trimestrales 2011 Pronae</t>
  </si>
  <si>
    <t>PAO 2011 Pronae</t>
  </si>
  <si>
    <t>Notas:</t>
  </si>
  <si>
    <t>Estos indicadores fueron construidos con el último informe trimestral que contenía cambios en los datos de todo el año, así como con las modificaciones presupuestarias y de metas</t>
  </si>
  <si>
    <t>Para evaluación no se toman en cuenta modificaciones que sean retroactivas</t>
  </si>
  <si>
    <t>Informes de Giro de Recursos, Área de Presupuesto, Desaf</t>
  </si>
  <si>
    <t>Los beneficiarios son las personas nuevas que ingresan al programa en cada trimestre, por eso en los acumulados (semestral, 3T y anual) se suman</t>
  </si>
  <si>
    <t>Población objetivo:</t>
  </si>
  <si>
    <t>Personas pobres en situación de desempleo</t>
  </si>
  <si>
    <t>Programa</t>
  </si>
  <si>
    <t>Total</t>
  </si>
  <si>
    <t xml:space="preserve">Gasto mensual programado por beneficiario (GPB) </t>
  </si>
  <si>
    <t xml:space="preserve">Gasto mensual efectivo por beneficiario (GEB) </t>
  </si>
  <si>
    <t xml:space="preserve">Gasto acumulado programado por beneficiario (GPB) </t>
  </si>
  <si>
    <t xml:space="preserve">Gasto acumulado efectivo por beneficiario (GEB) </t>
  </si>
  <si>
    <t>Programado</t>
  </si>
  <si>
    <t>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</si>
</sst>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0" fontId="0" fillId="0" borderId="0" xfId="0" applyFont="1" applyAlignment="1">
      <alignment wrapText="1"/>
    </xf>
    <xf numFmtId="43" fontId="0" fillId="0" borderId="0" xfId="1" applyFont="1"/>
    <xf numFmtId="3" fontId="0" fillId="0" borderId="0" xfId="0" applyNumberFormat="1" applyFill="1"/>
    <xf numFmtId="43" fontId="0" fillId="0" borderId="0" xfId="1" applyFont="1" applyFill="1"/>
    <xf numFmtId="0" fontId="0" fillId="0" borderId="0" xfId="0" applyFill="1"/>
    <xf numFmtId="43" fontId="0" fillId="0" borderId="0" xfId="1" applyNumberFormat="1" applyFont="1"/>
    <xf numFmtId="0" fontId="6" fillId="0" borderId="0" xfId="0" applyFont="1" applyAlignment="1">
      <alignment horizontal="left" indent="2"/>
    </xf>
    <xf numFmtId="3" fontId="0" fillId="0" borderId="0" xfId="1" applyNumberFormat="1" applyFont="1"/>
    <xf numFmtId="3" fontId="0" fillId="0" borderId="0" xfId="1" applyNumberFormat="1" applyFont="1" applyFill="1"/>
    <xf numFmtId="3" fontId="0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0" fontId="7" fillId="0" borderId="0" xfId="0" applyFont="1"/>
    <xf numFmtId="3" fontId="0" fillId="0" borderId="0" xfId="0" applyNumberFormat="1" applyFill="1" applyAlignment="1">
      <alignment horizontal="center"/>
    </xf>
    <xf numFmtId="0" fontId="0" fillId="0" borderId="0" xfId="0" applyAlignment="1">
      <alignment horizontal="left" indent="3"/>
    </xf>
    <xf numFmtId="166" fontId="0" fillId="0" borderId="0" xfId="1" applyNumberFormat="1" applyFont="1"/>
    <xf numFmtId="166" fontId="0" fillId="0" borderId="1" xfId="1" applyNumberFormat="1" applyFont="1" applyBorder="1" applyAlignment="1">
      <alignment wrapText="1"/>
    </xf>
    <xf numFmtId="166" fontId="0" fillId="0" borderId="3" xfId="1" applyNumberFormat="1" applyFont="1" applyBorder="1" applyAlignment="1">
      <alignment wrapText="1"/>
    </xf>
    <xf numFmtId="166" fontId="0" fillId="0" borderId="3" xfId="1" applyNumberFormat="1" applyFont="1" applyBorder="1" applyAlignment="1">
      <alignment horizontal="center"/>
    </xf>
    <xf numFmtId="166" fontId="3" fillId="0" borderId="0" xfId="1" applyNumberFormat="1" applyFont="1"/>
    <xf numFmtId="166" fontId="0" fillId="0" borderId="0" xfId="1" applyNumberFormat="1" applyFont="1" applyAlignment="1">
      <alignment horizontal="left" indent="1"/>
    </xf>
    <xf numFmtId="166" fontId="0" fillId="0" borderId="0" xfId="1" applyNumberFormat="1" applyFont="1" applyFill="1"/>
    <xf numFmtId="166" fontId="6" fillId="0" borderId="0" xfId="1" applyNumberFormat="1" applyFont="1" applyAlignment="1">
      <alignment horizontal="left" indent="2"/>
    </xf>
    <xf numFmtId="166" fontId="0" fillId="0" borderId="0" xfId="1" applyNumberFormat="1" applyFont="1" applyAlignment="1">
      <alignment horizontal="left"/>
    </xf>
    <xf numFmtId="166" fontId="2" fillId="0" borderId="0" xfId="1" applyNumberFormat="1" applyFont="1"/>
    <xf numFmtId="166" fontId="0" fillId="0" borderId="0" xfId="1" applyNumberFormat="1" applyFont="1" applyFill="1" applyAlignment="1">
      <alignment horizontal="center"/>
    </xf>
    <xf numFmtId="166" fontId="0" fillId="0" borderId="3" xfId="1" applyNumberFormat="1" applyFont="1" applyBorder="1"/>
    <xf numFmtId="166" fontId="0" fillId="0" borderId="0" xfId="1" applyNumberFormat="1" applyFont="1" applyAlignment="1">
      <alignment wrapText="1"/>
    </xf>
    <xf numFmtId="166" fontId="7" fillId="0" borderId="0" xfId="1" applyNumberFormat="1" applyFont="1"/>
    <xf numFmtId="166" fontId="0" fillId="0" borderId="0" xfId="1" applyNumberFormat="1" applyFont="1" applyAlignment="1">
      <alignment horizontal="left" indent="3"/>
    </xf>
    <xf numFmtId="43" fontId="0" fillId="0" borderId="0" xfId="1" applyNumberFormat="1" applyFont="1" applyFill="1"/>
    <xf numFmtId="166" fontId="4" fillId="0" borderId="0" xfId="1" applyNumberFormat="1" applyFont="1" applyAlignment="1">
      <alignment horizont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3" xfId="1" applyNumberFormat="1" applyFon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166" fontId="0" fillId="0" borderId="1" xfId="1" applyNumberFormat="1" applyFont="1" applyBorder="1" applyAlignment="1">
      <alignment horizontal="center" wrapText="1"/>
    </xf>
    <xf numFmtId="166" fontId="0" fillId="0" borderId="3" xfId="1" applyNumberFormat="1" applyFont="1" applyBorder="1" applyAlignment="1">
      <alignment horizontal="center" wrapText="1"/>
    </xf>
    <xf numFmtId="43" fontId="0" fillId="0" borderId="0" xfId="1" applyNumberFormat="1" applyFont="1" applyFill="1" applyAlignment="1">
      <alignment horizontal="center"/>
    </xf>
    <xf numFmtId="166" fontId="2" fillId="0" borderId="0" xfId="1" applyNumberFormat="1" applyFont="1" applyFill="1"/>
    <xf numFmtId="166" fontId="0" fillId="0" borderId="3" xfId="1" applyNumberFormat="1" applyFont="1" applyFill="1" applyBorder="1"/>
    <xf numFmtId="2" fontId="0" fillId="0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Cobertura Potencial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432852143482084E-2"/>
          <c:y val="0.17218759113444151"/>
          <c:w val="0.73597003499562563"/>
          <c:h val="0.37194699620880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Anual!$A$41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Anual!$B$41:$F$41</c:f>
              <c:numCache>
                <c:formatCode>_(* #,##0.00_);_(* \(#,##0.00\);_(* "-"??_);_(@_)</c:formatCode>
                <c:ptCount val="5"/>
                <c:pt idx="0">
                  <c:v>6.7212785492941585</c:v>
                </c:pt>
                <c:pt idx="1">
                  <c:v>3.2623665786755423</c:v>
                </c:pt>
                <c:pt idx="2">
                  <c:v>0.60828646849535173</c:v>
                </c:pt>
                <c:pt idx="3">
                  <c:v>0.60828646849535173</c:v>
                </c:pt>
                <c:pt idx="4">
                  <c:v>2.2423390336279123</c:v>
                </c:pt>
              </c:numCache>
            </c:numRef>
          </c:val>
        </c:ser>
        <c:ser>
          <c:idx val="1"/>
          <c:order val="1"/>
          <c:tx>
            <c:strRef>
              <c:f>Anual!$A$42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Anual!$B$42:$F$42</c:f>
              <c:numCache>
                <c:formatCode>_(* #,##0.00_);_(* \(#,##0.00\);_(* "-"??_);_(@_)</c:formatCode>
                <c:ptCount val="5"/>
                <c:pt idx="0">
                  <c:v>6.2234591988981975</c:v>
                </c:pt>
                <c:pt idx="1">
                  <c:v>4.5592792379203484</c:v>
                </c:pt>
                <c:pt idx="2">
                  <c:v>0.37300585332262137</c:v>
                </c:pt>
                <c:pt idx="3">
                  <c:v>0.60972110639274646</c:v>
                </c:pt>
                <c:pt idx="4">
                  <c:v>0.68145300126248132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72512"/>
        <c:axId val="196172904"/>
      </c:barChart>
      <c:catAx>
        <c:axId val="196172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6172904"/>
        <c:crosses val="autoZero"/>
        <c:auto val="1"/>
        <c:lblAlgn val="ctr"/>
        <c:lblOffset val="100"/>
        <c:noMultiLvlLbl val="0"/>
      </c:catAx>
      <c:valAx>
        <c:axId val="196172904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crossAx val="196172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1502624671916"/>
          <c:y val="0.81906058617672794"/>
          <c:w val="0.56928311199905979"/>
          <c:h val="7.765071531384647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Resultado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72E-2"/>
          <c:y val="0.17218759113444151"/>
          <c:w val="0.5705949256342957"/>
          <c:h val="0.399724773986585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Anual!$B$45:$F$45</c:f>
              <c:numCache>
                <c:formatCode>_(* #,##0.00_);_(* \(#,##0.00\);_(* "-"??_);_(@_)</c:formatCode>
                <c:ptCount val="5"/>
                <c:pt idx="0">
                  <c:v>92.593383137673428</c:v>
                </c:pt>
                <c:pt idx="1">
                  <c:v>139.75373790677222</c:v>
                </c:pt>
                <c:pt idx="2">
                  <c:v>61.320754716981128</c:v>
                </c:pt>
                <c:pt idx="3">
                  <c:v>100.23584905660377</c:v>
                </c:pt>
                <c:pt idx="4">
                  <c:v>30.390275111964172</c:v>
                </c:pt>
              </c:numCache>
            </c:numRef>
          </c:val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Anual!$B$46:$F$46</c:f>
              <c:numCache>
                <c:formatCode>_(* #,##0.00_);_(* \(#,##0.00\);_(* "-"??_);_(@_)</c:formatCode>
                <c:ptCount val="5"/>
                <c:pt idx="0">
                  <c:v>81.462094157167783</c:v>
                </c:pt>
                <c:pt idx="1">
                  <c:v>116.67460846913815</c:v>
                </c:pt>
                <c:pt idx="2">
                  <c:v>57.215007215007219</c:v>
                </c:pt>
                <c:pt idx="3">
                  <c:v>68.019480519480524</c:v>
                </c:pt>
                <c:pt idx="4">
                  <c:v>33.50394540413734</c:v>
                </c:pt>
              </c:numCache>
            </c:numRef>
          </c:val>
        </c:ser>
        <c:ser>
          <c:idx val="2"/>
          <c:order val="2"/>
          <c:tx>
            <c:strRef>
              <c:f>Anual!$A$47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Anual!$B$47:$F$47</c:f>
              <c:numCache>
                <c:formatCode>_(* #,##0.00_);_(* \(#,##0.00\);_(* "-"??_);_(@_)</c:formatCode>
                <c:ptCount val="5"/>
                <c:pt idx="0">
                  <c:v>87.027738647420605</c:v>
                </c:pt>
                <c:pt idx="1">
                  <c:v>128.21417318795517</c:v>
                </c:pt>
                <c:pt idx="2">
                  <c:v>59.267880965994173</c:v>
                </c:pt>
                <c:pt idx="3">
                  <c:v>84.127664788042154</c:v>
                </c:pt>
                <c:pt idx="4">
                  <c:v>31.947110258050756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73688"/>
        <c:axId val="196174080"/>
      </c:barChart>
      <c:catAx>
        <c:axId val="19617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6174080"/>
        <c:crosses val="autoZero"/>
        <c:auto val="1"/>
        <c:lblAlgn val="ctr"/>
        <c:lblOffset val="100"/>
        <c:noMultiLvlLbl val="0"/>
      </c:catAx>
      <c:valAx>
        <c:axId val="19617408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196173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Avance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72E-2"/>
          <c:y val="0.17218759113444151"/>
          <c:w val="0.53316469816272949"/>
          <c:h val="0.39509514435695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Anual!$A$50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Anual!$B$50:$F$50</c:f>
              <c:numCache>
                <c:formatCode>_(* #,##0.00_);_(* \(#,##0.00\);_(* "-"??_);_(@_)</c:formatCode>
                <c:ptCount val="5"/>
                <c:pt idx="0">
                  <c:v>83.231005372217965</c:v>
                </c:pt>
                <c:pt idx="1">
                  <c:v>119.51861602106055</c:v>
                </c:pt>
                <c:pt idx="2">
                  <c:v>52.525252525252533</c:v>
                </c:pt>
                <c:pt idx="3">
                  <c:v>85.858585858585855</c:v>
                </c:pt>
                <c:pt idx="4">
                  <c:v>30.390275111964172</c:v>
                </c:pt>
              </c:numCache>
            </c:numRef>
          </c:val>
        </c:ser>
        <c:ser>
          <c:idx val="1"/>
          <c:order val="1"/>
          <c:tx>
            <c:strRef>
              <c:f>Anual!$A$51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Anual!$B$51:$F$51</c:f>
              <c:numCache>
                <c:formatCode>_(* #,##0.00_);_(* \(#,##0.00\);_(* "-"??_);_(@_)</c:formatCode>
                <c:ptCount val="5"/>
                <c:pt idx="0">
                  <c:v>99.911998239964788</c:v>
                </c:pt>
                <c:pt idx="1">
                  <c:v>115.21064023338248</c:v>
                </c:pt>
                <c:pt idx="2">
                  <c:v>53.436657681940702</c:v>
                </c:pt>
                <c:pt idx="3">
                  <c:v>63.527628032345021</c:v>
                </c:pt>
                <c:pt idx="4">
                  <c:v>100.57618437900129</c:v>
                </c:pt>
              </c:numCache>
            </c:numRef>
          </c:val>
        </c:ser>
        <c:ser>
          <c:idx val="2"/>
          <c:order val="2"/>
          <c:tx>
            <c:strRef>
              <c:f>Anual!$A$52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Anual!$B$52:$F$52</c:f>
              <c:numCache>
                <c:formatCode>_(* #,##0.00_);_(* \(#,##0.00\);_(* "-"??_);_(@_)</c:formatCode>
                <c:ptCount val="5"/>
                <c:pt idx="0">
                  <c:v>91.571501806091376</c:v>
                </c:pt>
                <c:pt idx="1">
                  <c:v>117.36462812722152</c:v>
                </c:pt>
                <c:pt idx="2">
                  <c:v>52.980955103596614</c:v>
                </c:pt>
                <c:pt idx="3">
                  <c:v>74.693106945465445</c:v>
                </c:pt>
                <c:pt idx="4">
                  <c:v>65.483229745482731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74864"/>
        <c:axId val="196175256"/>
      </c:barChart>
      <c:catAx>
        <c:axId val="19617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6175256"/>
        <c:crosses val="autoZero"/>
        <c:auto val="1"/>
        <c:lblAlgn val="ctr"/>
        <c:lblOffset val="100"/>
        <c:noMultiLvlLbl val="0"/>
      </c:catAx>
      <c:valAx>
        <c:axId val="19617525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196174864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Expansión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099518810148706E-2"/>
          <c:y val="0.17218759113444151"/>
          <c:w val="0.5437893700787404"/>
          <c:h val="0.683819262175561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(Anual!$B$4,Anual!$C$5:$E$5)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Anual!$B$57:$E$57</c:f>
              <c:numCache>
                <c:formatCode>_(* #,##0.00_);_(* \(#,##0.00\);_(* "-"??_);_(@_)</c:formatCode>
                <c:ptCount val="4"/>
                <c:pt idx="0">
                  <c:v>22.889518413597742</c:v>
                </c:pt>
                <c:pt idx="1">
                  <c:v>20.105820105820115</c:v>
                </c:pt>
                <c:pt idx="2">
                  <c:v>-24.855491329479772</c:v>
                </c:pt>
                <c:pt idx="3">
                  <c:v>-21.003717472118954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(Anual!$B$4,Anual!$C$5:$E$5)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Anual!$B$58:$E$58</c:f>
              <c:numCache>
                <c:formatCode>_(* #,##0.00_);_(* \(#,##0.00\);_(* "-"??_);_(@_)</c:formatCode>
                <c:ptCount val="4"/>
                <c:pt idx="0">
                  <c:v>26.876819494913473</c:v>
                </c:pt>
                <c:pt idx="1">
                  <c:v>22.175672020459626</c:v>
                </c:pt>
                <c:pt idx="2">
                  <c:v>-17.521584725761961</c:v>
                </c:pt>
                <c:pt idx="3">
                  <c:v>-31.00165445764409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(Anual!$B$4,Anual!$C$5:$E$5)</c:f>
              <c:strCache>
                <c:ptCount val="4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</c:strCache>
            </c:strRef>
          </c:cat>
          <c:val>
            <c:numRef>
              <c:f>Anual!$B$59:$E$59</c:f>
              <c:numCache>
                <c:formatCode>_(* #,##0.00_);_(* \(#,##0.00\);_(* "-"??_);_(@_)</c:formatCode>
                <c:ptCount val="4"/>
                <c:pt idx="0">
                  <c:v>3.244622594984925</c:v>
                </c:pt>
                <c:pt idx="1">
                  <c:v>1.7233568804707833</c:v>
                </c:pt>
                <c:pt idx="2">
                  <c:v>9.7597372495629386</c:v>
                </c:pt>
                <c:pt idx="3">
                  <c:v>-12.656211995794154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76040"/>
        <c:axId val="196176432"/>
      </c:barChart>
      <c:catAx>
        <c:axId val="196176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176432"/>
        <c:crosses val="autoZero"/>
        <c:auto val="1"/>
        <c:lblAlgn val="ctr"/>
        <c:lblOffset val="100"/>
        <c:noMultiLvlLbl val="0"/>
      </c:catAx>
      <c:valAx>
        <c:axId val="19617643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96176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Indicadores de Gasto Medio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517198248905576E-2"/>
          <c:y val="0.35765207437822905"/>
          <c:w val="0.94996873045653552"/>
          <c:h val="0.503682508545734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Anual!$B$62:$F$62</c:f>
              <c:numCache>
                <c:formatCode>_(* #,##0_);_(* \(#,##0\);_(* "-"??_);_(@_)</c:formatCode>
                <c:ptCount val="5"/>
                <c:pt idx="0">
                  <c:v>43630.736392742794</c:v>
                </c:pt>
                <c:pt idx="1">
                  <c:v>46143.359718557607</c:v>
                </c:pt>
                <c:pt idx="2">
                  <c:v>43584.905660377357</c:v>
                </c:pt>
                <c:pt idx="3">
                  <c:v>43584.905660377357</c:v>
                </c:pt>
                <c:pt idx="4">
                  <c:v>40000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Anual!$B$63:$F$63</c:f>
              <c:numCache>
                <c:formatCode>_(* #,##0_);_(* \(#,##0\);_(* "-"??_);_(@_)</c:formatCode>
                <c:ptCount val="5"/>
                <c:pt idx="0">
                  <c:v>38385.584754879361</c:v>
                </c:pt>
                <c:pt idx="1">
                  <c:v>38523.180197189009</c:v>
                </c:pt>
                <c:pt idx="2">
                  <c:v>40666.666666666664</c:v>
                </c:pt>
                <c:pt idx="3">
                  <c:v>29576.470588235294</c:v>
                </c:pt>
                <c:pt idx="4">
                  <c:v>44098.245614035084</c:v>
                </c:pt>
              </c:numCache>
            </c:numRef>
          </c:val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Gasto efectivo por subsidio (GEB)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Anual!$B$64:$F$64</c:f>
              <c:numCache>
                <c:formatCode>_(* #,##0_);_(* \(#,##0\);_(* "-"??_);_(@_)</c:formatCode>
                <c:ptCount val="5"/>
                <c:pt idx="0">
                  <c:v>157648.91518737673</c:v>
                </c:pt>
                <c:pt idx="1">
                  <c:v>160000</c:v>
                </c:pt>
                <c:pt idx="2">
                  <c:v>146512.70207852195</c:v>
                </c:pt>
                <c:pt idx="3">
                  <c:v>142840.90909090909</c:v>
                </c:pt>
                <c:pt idx="4">
                  <c:v>160000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96177216"/>
        <c:axId val="196177608"/>
      </c:barChart>
      <c:catAx>
        <c:axId val="196177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177608"/>
        <c:crosses val="autoZero"/>
        <c:auto val="1"/>
        <c:lblAlgn val="ctr"/>
        <c:lblOffset val="100"/>
        <c:noMultiLvlLbl val="0"/>
      </c:catAx>
      <c:valAx>
        <c:axId val="19617760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1961772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Eficiencia y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72E-2"/>
          <c:y val="0.17218759113444151"/>
          <c:w val="0.53126137357830272"/>
          <c:h val="0.408984033245844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Anual!$B$65:$F$65</c:f>
              <c:numCache>
                <c:formatCode>_(* #,##0.00_);_(* \(#,##0.00\);_(* "-"??_);_(@_)</c:formatCode>
                <c:ptCount val="5"/>
                <c:pt idx="0">
                  <c:v>98.919538363928623</c:v>
                </c:pt>
                <c:pt idx="1">
                  <c:v>153.57591673755326</c:v>
                </c:pt>
                <c:pt idx="2">
                  <c:v>63.520942637540927</c:v>
                </c:pt>
                <c:pt idx="3">
                  <c:v>123.97342415403608</c:v>
                </c:pt>
                <c:pt idx="4">
                  <c:v>28.978123563158707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Anual!$B$70</c:f>
              <c:numCache>
                <c:formatCode>_(* #,##0_);_(* \(#,##0\);_(* "-"??_);_(@_)</c:formatCode>
                <c:ptCount val="1"/>
                <c:pt idx="0">
                  <c:v>78.159907375699163</c:v>
                </c:pt>
              </c:numCache>
            </c:numRef>
          </c:val>
        </c:ser>
        <c:ser>
          <c:idx val="2"/>
          <c:order val="2"/>
          <c:tx>
            <c:strRef>
              <c:f>Anual!$A$71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Anual!$B$71</c:f>
              <c:numCache>
                <c:formatCode>_(* #,##0_);_(* \(#,##0\);_(* "-"??_);_(@_)</c:formatCode>
                <c:ptCount val="1"/>
                <c:pt idx="0">
                  <c:v>104.2249113290215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78392"/>
        <c:axId val="196178784"/>
      </c:barChart>
      <c:catAx>
        <c:axId val="196178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6178784"/>
        <c:crosses val="autoZero"/>
        <c:auto val="1"/>
        <c:lblAlgn val="ctr"/>
        <c:lblOffset val="100"/>
        <c:noMultiLvlLbl val="0"/>
      </c:catAx>
      <c:valAx>
        <c:axId val="1961787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196178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PRONAE: gasto anual por beneficiario según beneficio. 2011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789129483814528"/>
          <c:y val="0.25130796150481205"/>
          <c:w val="0.74877602799650034"/>
          <c:h val="0.2980121755613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Anual!$E$89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Anual!$B$104:$F$104</c:f>
              <c:strCache>
                <c:ptCount val="5"/>
                <c:pt idx="0">
                  <c:v>Total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Anual!$B$66:$F$66</c:f>
              <c:numCache>
                <c:formatCode>_(* #,##0_);_(* \(#,##0\);_(* "-"??_);_(@_)</c:formatCode>
                <c:ptCount val="5"/>
                <c:pt idx="0">
                  <c:v>523568.83671291353</c:v>
                </c:pt>
                <c:pt idx="1">
                  <c:v>553720.31662269135</c:v>
                </c:pt>
                <c:pt idx="2">
                  <c:v>523018.86792452831</c:v>
                </c:pt>
                <c:pt idx="3">
                  <c:v>523018.86792452831</c:v>
                </c:pt>
                <c:pt idx="4">
                  <c:v>480000</c:v>
                </c:pt>
              </c:numCache>
            </c:numRef>
          </c:val>
        </c:ser>
        <c:ser>
          <c:idx val="1"/>
          <c:order val="1"/>
          <c:tx>
            <c:strRef>
              <c:f>Anual!$E$90</c:f>
              <c:strCache>
                <c:ptCount val="1"/>
                <c:pt idx="0">
                  <c:v>Efectivo</c:v>
                </c:pt>
              </c:strCache>
            </c:strRef>
          </c:tx>
          <c:invertIfNegative val="0"/>
          <c:cat>
            <c:strRef>
              <c:f>Anual!$B$104:$F$104</c:f>
              <c:strCache>
                <c:ptCount val="5"/>
                <c:pt idx="0">
                  <c:v>Total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Emergencia</c:v>
                </c:pt>
              </c:strCache>
            </c:strRef>
          </c:cat>
          <c:val>
            <c:numRef>
              <c:f>Anual!$B$67:$F$67</c:f>
              <c:numCache>
                <c:formatCode>_(* #,##0_);_(* \(#,##0\);_(* "-"??_);_(@_)</c:formatCode>
                <c:ptCount val="5"/>
                <c:pt idx="0">
                  <c:v>460627.0170585523</c:v>
                </c:pt>
                <c:pt idx="1">
                  <c:v>462278.16236626811</c:v>
                </c:pt>
                <c:pt idx="2">
                  <c:v>488000</c:v>
                </c:pt>
                <c:pt idx="3">
                  <c:v>354917.64705882355</c:v>
                </c:pt>
                <c:pt idx="4">
                  <c:v>529178.94736842101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063160"/>
        <c:axId val="197063552"/>
      </c:barChart>
      <c:catAx>
        <c:axId val="197063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R"/>
          </a:p>
        </c:txPr>
        <c:crossAx val="197063552"/>
        <c:crosses val="autoZero"/>
        <c:auto val="1"/>
        <c:lblAlgn val="ctr"/>
        <c:lblOffset val="100"/>
        <c:noMultiLvlLbl val="0"/>
      </c:catAx>
      <c:valAx>
        <c:axId val="1970635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7063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873430244296385"/>
          <c:y val="0.82672038088262223"/>
          <c:w val="0.32233676559660812"/>
          <c:h val="8.010149894053940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Indicadores de Giro de Recursos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627296587926502E-2"/>
          <c:y val="0.17218759113444151"/>
          <c:w val="0.83748381452318466"/>
          <c:h val="0.54941163604549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_(* #,##0_);_(* \(#,##0\);_(* "-"??_);_(@_)</c:formatCode>
                <c:ptCount val="1"/>
                <c:pt idx="0">
                  <c:v>78.159907375699163</c:v>
                </c:pt>
              </c:numCache>
            </c:numRef>
          </c:val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Anual!$B$71</c:f>
              <c:numCache>
                <c:formatCode>_(* #,##0_);_(* \(#,##0\);_(* "-"??_);_(@_)</c:formatCode>
                <c:ptCount val="1"/>
                <c:pt idx="0">
                  <c:v>104.2249113290215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064336"/>
        <c:axId val="197064728"/>
      </c:barChart>
      <c:catAx>
        <c:axId val="19706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064728"/>
        <c:crosses val="autoZero"/>
        <c:auto val="1"/>
        <c:lblAlgn val="ctr"/>
        <c:lblOffset val="100"/>
        <c:noMultiLvlLbl val="0"/>
      </c:catAx>
      <c:valAx>
        <c:axId val="1970647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197064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0705161854768153E-2"/>
          <c:y val="0.80980132691746864"/>
          <c:w val="0.87303412073490816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14286</xdr:rowOff>
    </xdr:from>
    <xdr:to>
      <xdr:col>12</xdr:col>
      <xdr:colOff>676275</xdr:colOff>
      <xdr:row>15</xdr:row>
      <xdr:rowOff>85724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638175</xdr:colOff>
      <xdr:row>16</xdr:row>
      <xdr:rowOff>138112</xdr:rowOff>
    </xdr:from>
    <xdr:to>
      <xdr:col>12</xdr:col>
      <xdr:colOff>638175</xdr:colOff>
      <xdr:row>31</xdr:row>
      <xdr:rowOff>23812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676275</xdr:colOff>
      <xdr:row>31</xdr:row>
      <xdr:rowOff>138112</xdr:rowOff>
    </xdr:from>
    <xdr:to>
      <xdr:col>12</xdr:col>
      <xdr:colOff>676275</xdr:colOff>
      <xdr:row>46</xdr:row>
      <xdr:rowOff>23812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695325</xdr:colOff>
      <xdr:row>47</xdr:row>
      <xdr:rowOff>4762</xdr:rowOff>
    </xdr:from>
    <xdr:to>
      <xdr:col>12</xdr:col>
      <xdr:colOff>695325</xdr:colOff>
      <xdr:row>61</xdr:row>
      <xdr:rowOff>80962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742948</xdr:colOff>
      <xdr:row>61</xdr:row>
      <xdr:rowOff>185736</xdr:rowOff>
    </xdr:from>
    <xdr:to>
      <xdr:col>16</xdr:col>
      <xdr:colOff>400050</xdr:colOff>
      <xdr:row>83</xdr:row>
      <xdr:rowOff>95250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28575</xdr:colOff>
      <xdr:row>85</xdr:row>
      <xdr:rowOff>90487</xdr:rowOff>
    </xdr:from>
    <xdr:to>
      <xdr:col>13</xdr:col>
      <xdr:colOff>28575</xdr:colOff>
      <xdr:row>99</xdr:row>
      <xdr:rowOff>166687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600075</xdr:colOff>
      <xdr:row>84</xdr:row>
      <xdr:rowOff>47624</xdr:rowOff>
    </xdr:from>
    <xdr:to>
      <xdr:col>5</xdr:col>
      <xdr:colOff>857250</xdr:colOff>
      <xdr:row>99</xdr:row>
      <xdr:rowOff>57149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3009899</xdr:colOff>
      <xdr:row>102</xdr:row>
      <xdr:rowOff>161925</xdr:rowOff>
    </xdr:from>
    <xdr:to>
      <xdr:col>6</xdr:col>
      <xdr:colOff>57149</xdr:colOff>
      <xdr:row>117</xdr:row>
      <xdr:rowOff>47625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0.88732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34091"/>
          <a:ext cx="4572000" cy="309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ejecutoras, DESAF  e INEC .</a:t>
          </a:r>
          <a:endParaRPr lang="es-CR" sz="900">
            <a:latin typeface="+mn-lt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0.88732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34091"/>
          <a:ext cx="4572000" cy="309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 .</a:t>
          </a:r>
          <a:endParaRPr lang="es-CR" sz="900">
            <a:latin typeface="+mn-lt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0.88732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34091"/>
          <a:ext cx="4572000" cy="309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DESAF.</a:t>
          </a:r>
          <a:endParaRPr lang="es-CR" sz="900">
            <a:latin typeface="+mn-lt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0.88732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34091"/>
          <a:ext cx="4572000" cy="309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ejecutoras, DESAF  e INEC .</a:t>
          </a:r>
          <a:endParaRPr lang="es-CR" sz="900">
            <a:latin typeface="+mn-lt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0.05691</cdr:x>
      <cdr:y>0.91358</cdr:y>
    </cdr:from>
    <cdr:to>
      <cdr:x>0.97624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88925" y="3267529"/>
          <a:ext cx="4667250" cy="309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ejecutoras, DESAF  e INEC .</a:t>
          </a:r>
          <a:endParaRPr lang="es-CR" sz="900">
            <a:latin typeface="+mn-lt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0.88732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434091"/>
          <a:ext cx="4572000" cy="309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 DESAF .</a:t>
          </a:r>
          <a:endParaRPr lang="es-CR" sz="900">
            <a:latin typeface="+mn-lt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0.92027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638425"/>
          <a:ext cx="4953000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 .</a:t>
          </a:r>
          <a:endParaRPr lang="es-CR" sz="900">
            <a:latin typeface="+mn-lt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0.91667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0" y="2514601"/>
          <a:ext cx="4572000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900">
              <a:latin typeface="+mn-lt"/>
            </a:rPr>
            <a:t>Fuente: </a:t>
          </a:r>
          <a:r>
            <a:rPr lang="es-CR" sz="900" baseline="0">
              <a:latin typeface="+mn-lt"/>
            </a:rPr>
            <a:t>IICE con  base en información de unidades ejecutoras  y DESAF.</a:t>
          </a:r>
          <a:endParaRPr lang="es-CR" sz="900">
            <a:latin typeface="+mn-lt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5"/>
  <sheetViews>
    <sheetView zoomScale="110" zoomScaleNormal="110" workbookViewId="0">
      <selection activeCell="H44" sqref="H44"/>
    </sheetView>
  </sheetViews>
  <sheetFormatPr baseColWidth="10" defaultRowHeight="15" x14ac:dyDescent="0.25"/>
  <cols>
    <col min="1" max="1" width="55.140625" style="28" customWidth="1"/>
    <col min="2" max="2" width="16.85546875" style="28" bestFit="1" customWidth="1"/>
    <col min="3" max="6" width="15.140625" style="28" bestFit="1" customWidth="1"/>
    <col min="7" max="7" width="11.42578125" style="28"/>
    <col min="8" max="8" width="12.7109375" style="28" bestFit="1" customWidth="1"/>
    <col min="9" max="9" width="11.42578125" style="28"/>
    <col min="10" max="13" width="11.5703125" style="28" bestFit="1" customWidth="1"/>
    <col min="14" max="16384" width="11.42578125" style="28"/>
  </cols>
  <sheetData>
    <row r="2" spans="1:6" ht="15.75" x14ac:dyDescent="0.25">
      <c r="A2" s="44" t="s">
        <v>0</v>
      </c>
      <c r="B2" s="44"/>
      <c r="C2" s="44"/>
      <c r="D2" s="44"/>
      <c r="E2" s="44"/>
      <c r="F2" s="44"/>
    </row>
    <row r="4" spans="1:6" x14ac:dyDescent="0.25">
      <c r="A4" s="45" t="s">
        <v>1</v>
      </c>
      <c r="B4" s="29" t="s">
        <v>123</v>
      </c>
      <c r="C4" s="47" t="s">
        <v>3</v>
      </c>
      <c r="D4" s="47"/>
      <c r="E4" s="47"/>
      <c r="F4" s="47"/>
    </row>
    <row r="5" spans="1:6" ht="15.75" thickBot="1" x14ac:dyDescent="0.3">
      <c r="A5" s="46"/>
      <c r="B5" s="30" t="s">
        <v>122</v>
      </c>
      <c r="C5" s="31" t="s">
        <v>4</v>
      </c>
      <c r="D5" s="31" t="s">
        <v>5</v>
      </c>
      <c r="E5" s="31" t="s">
        <v>6</v>
      </c>
      <c r="F5" s="31" t="s">
        <v>7</v>
      </c>
    </row>
    <row r="6" spans="1:6" ht="15.75" thickTop="1" x14ac:dyDescent="0.25"/>
    <row r="7" spans="1:6" x14ac:dyDescent="0.25">
      <c r="A7" s="32" t="s">
        <v>8</v>
      </c>
    </row>
    <row r="9" spans="1:6" x14ac:dyDescent="0.25">
      <c r="A9" s="28" t="s">
        <v>9</v>
      </c>
    </row>
    <row r="10" spans="1:6" x14ac:dyDescent="0.25">
      <c r="A10" s="33" t="s">
        <v>10</v>
      </c>
      <c r="B10" s="34">
        <f>SUM(C10:F10)</f>
        <v>816</v>
      </c>
      <c r="C10" s="34">
        <v>577</v>
      </c>
      <c r="D10" s="34">
        <v>118</v>
      </c>
      <c r="E10" s="34">
        <v>121</v>
      </c>
      <c r="F10" s="34">
        <v>0</v>
      </c>
    </row>
    <row r="11" spans="1:6" x14ac:dyDescent="0.25">
      <c r="A11" s="33" t="s">
        <v>11</v>
      </c>
      <c r="B11" s="34">
        <f>SUM(C11:F11)</f>
        <v>1478</v>
      </c>
      <c r="C11" s="34">
        <v>225</v>
      </c>
      <c r="D11" s="34">
        <v>45</v>
      </c>
      <c r="E11" s="34">
        <v>45</v>
      </c>
      <c r="F11" s="34">
        <v>1163</v>
      </c>
    </row>
    <row r="12" spans="1:6" x14ac:dyDescent="0.25">
      <c r="A12" s="33" t="s">
        <v>12</v>
      </c>
      <c r="B12" s="34">
        <f>SUM(C12:F12)</f>
        <v>560</v>
      </c>
      <c r="C12" s="34">
        <v>46</v>
      </c>
      <c r="D12" s="34">
        <v>56</v>
      </c>
      <c r="E12" s="34">
        <v>7</v>
      </c>
      <c r="F12" s="34">
        <v>451</v>
      </c>
    </row>
    <row r="13" spans="1:6" x14ac:dyDescent="0.25">
      <c r="A13" s="35" t="s">
        <v>110</v>
      </c>
      <c r="B13" s="34">
        <f>SUM(C13:F13)</f>
        <v>1142</v>
      </c>
      <c r="C13" s="34">
        <v>46</v>
      </c>
      <c r="D13" s="34">
        <v>56</v>
      </c>
      <c r="E13" s="34">
        <v>7</v>
      </c>
      <c r="F13" s="34">
        <v>1033</v>
      </c>
    </row>
    <row r="14" spans="1:6" x14ac:dyDescent="0.25">
      <c r="A14" s="33" t="s">
        <v>13</v>
      </c>
      <c r="B14" s="34">
        <f>SUM(C14:F14)</f>
        <v>3125</v>
      </c>
      <c r="C14" s="34">
        <v>1094</v>
      </c>
      <c r="D14" s="34">
        <v>234</v>
      </c>
      <c r="E14" s="34">
        <v>234</v>
      </c>
      <c r="F14" s="34">
        <v>1563</v>
      </c>
    </row>
    <row r="16" spans="1:6" x14ac:dyDescent="0.25">
      <c r="A16" s="36" t="s">
        <v>14</v>
      </c>
    </row>
    <row r="17" spans="1:7" x14ac:dyDescent="0.25">
      <c r="A17" s="33" t="s">
        <v>10</v>
      </c>
      <c r="B17" s="34">
        <f>SUM(C17:F17)</f>
        <v>131591250</v>
      </c>
      <c r="C17" s="34">
        <v>97335000</v>
      </c>
      <c r="D17" s="34">
        <v>16875000</v>
      </c>
      <c r="E17" s="34">
        <v>17381250</v>
      </c>
      <c r="F17" s="34">
        <v>0</v>
      </c>
    </row>
    <row r="18" spans="1:7" x14ac:dyDescent="0.25">
      <c r="A18" s="33" t="s">
        <v>11</v>
      </c>
      <c r="B18" s="34">
        <f>SUM(C18:F18)</f>
        <v>488480000</v>
      </c>
      <c r="C18" s="34">
        <v>112000000</v>
      </c>
      <c r="D18" s="34">
        <v>10400000</v>
      </c>
      <c r="E18" s="34">
        <f>3200000+7200000</f>
        <v>10400000</v>
      </c>
      <c r="F18" s="34">
        <v>355680000</v>
      </c>
    </row>
    <row r="19" spans="1:7" x14ac:dyDescent="0.25">
      <c r="A19" s="33" t="s">
        <v>12</v>
      </c>
      <c r="B19" s="34">
        <f>SUM(C19:F19)</f>
        <v>182440000</v>
      </c>
      <c r="C19" s="34">
        <v>7360000</v>
      </c>
      <c r="D19" s="34">
        <v>8960000</v>
      </c>
      <c r="E19" s="34">
        <v>840000</v>
      </c>
      <c r="F19" s="34">
        <v>165280000</v>
      </c>
    </row>
    <row r="20" spans="1:7" x14ac:dyDescent="0.25">
      <c r="A20" s="33" t="s">
        <v>13</v>
      </c>
      <c r="B20" s="34">
        <f>SUM(C20:F20)</f>
        <v>1500000000</v>
      </c>
      <c r="C20" s="34">
        <v>525120000</v>
      </c>
      <c r="D20" s="34">
        <v>112320000</v>
      </c>
      <c r="E20" s="34">
        <v>112320000</v>
      </c>
      <c r="F20" s="34">
        <v>750240000</v>
      </c>
    </row>
    <row r="21" spans="1:7" x14ac:dyDescent="0.25">
      <c r="A21" s="33" t="s">
        <v>15</v>
      </c>
      <c r="B21" s="34">
        <f>SUM(C21:F21)</f>
        <v>182440000</v>
      </c>
      <c r="C21" s="34">
        <f>C19</f>
        <v>7360000</v>
      </c>
      <c r="D21" s="34">
        <f>D19</f>
        <v>8960000</v>
      </c>
      <c r="E21" s="34">
        <f>E19</f>
        <v>840000</v>
      </c>
      <c r="F21" s="34">
        <f>F19</f>
        <v>165280000</v>
      </c>
    </row>
    <row r="23" spans="1:7" x14ac:dyDescent="0.25">
      <c r="A23" s="28" t="s">
        <v>16</v>
      </c>
    </row>
    <row r="24" spans="1:7" x14ac:dyDescent="0.25">
      <c r="A24" s="28" t="s">
        <v>11</v>
      </c>
      <c r="B24" s="34">
        <f>SUM(C24:F24)</f>
        <v>264800000</v>
      </c>
      <c r="C24" s="34">
        <v>52000000</v>
      </c>
      <c r="D24" s="34">
        <v>10400000</v>
      </c>
      <c r="E24" s="34">
        <v>10400000</v>
      </c>
      <c r="F24" s="34">
        <v>192000000</v>
      </c>
      <c r="G24" s="37"/>
    </row>
    <row r="25" spans="1:7" x14ac:dyDescent="0.25">
      <c r="A25" s="28" t="s">
        <v>12</v>
      </c>
      <c r="B25" s="34">
        <v>0</v>
      </c>
      <c r="C25" s="38"/>
      <c r="D25" s="38"/>
      <c r="E25" s="38"/>
      <c r="F25" s="38"/>
      <c r="G25" s="37"/>
    </row>
    <row r="27" spans="1:7" x14ac:dyDescent="0.25">
      <c r="A27" s="28" t="s">
        <v>17</v>
      </c>
    </row>
    <row r="28" spans="1:7" x14ac:dyDescent="0.25">
      <c r="A28" s="28" t="s">
        <v>18</v>
      </c>
      <c r="B28" s="19">
        <v>1.3815129374949098</v>
      </c>
      <c r="C28" s="19">
        <v>1.3815129374949098</v>
      </c>
      <c r="D28" s="19">
        <v>1.3815129374949098</v>
      </c>
      <c r="E28" s="19">
        <v>1.3815129374949098</v>
      </c>
      <c r="F28" s="19">
        <v>1.3815129374949098</v>
      </c>
    </row>
    <row r="29" spans="1:7" x14ac:dyDescent="0.25">
      <c r="A29" s="28" t="s">
        <v>19</v>
      </c>
      <c r="B29" s="19">
        <v>1.4459435845989319</v>
      </c>
      <c r="C29" s="19">
        <v>1.4459435845989319</v>
      </c>
      <c r="D29" s="19">
        <v>1.4459435845989319</v>
      </c>
      <c r="E29" s="19">
        <v>1.4459435845989319</v>
      </c>
      <c r="F29" s="19">
        <v>1.4459435845989319</v>
      </c>
    </row>
    <row r="30" spans="1:7" x14ac:dyDescent="0.25">
      <c r="A30" s="28" t="s">
        <v>20</v>
      </c>
      <c r="B30" s="28">
        <v>69704</v>
      </c>
      <c r="C30" s="28">
        <v>69704</v>
      </c>
      <c r="D30" s="28">
        <v>69704</v>
      </c>
      <c r="E30" s="28">
        <v>69704</v>
      </c>
      <c r="F30" s="28">
        <v>69704</v>
      </c>
    </row>
    <row r="32" spans="1:7" x14ac:dyDescent="0.25">
      <c r="A32" s="28" t="s">
        <v>21</v>
      </c>
    </row>
    <row r="33" spans="1:6" x14ac:dyDescent="0.25">
      <c r="A33" s="28" t="s">
        <v>22</v>
      </c>
      <c r="B33" s="28">
        <f>B17/B28</f>
        <v>95251550.983383283</v>
      </c>
      <c r="C33" s="28">
        <f>C17/C28</f>
        <v>70455366.257008821</v>
      </c>
      <c r="D33" s="28">
        <f>D17/D28</f>
        <v>12214869.323337173</v>
      </c>
      <c r="E33" s="28">
        <f>E17/E28</f>
        <v>12581315.403037289</v>
      </c>
      <c r="F33" s="28">
        <f>F17/F28</f>
        <v>0</v>
      </c>
    </row>
    <row r="34" spans="1:6" x14ac:dyDescent="0.25">
      <c r="A34" s="28" t="s">
        <v>23</v>
      </c>
      <c r="B34" s="28">
        <f>B19/B29</f>
        <v>126173663.9957528</v>
      </c>
      <c r="C34" s="28">
        <f>C19/C29</f>
        <v>5090101.7704929877</v>
      </c>
      <c r="D34" s="28">
        <f>D19/D29</f>
        <v>6196645.6336436365</v>
      </c>
      <c r="E34" s="28">
        <f>E19/E29</f>
        <v>580935.52815409098</v>
      </c>
      <c r="F34" s="28">
        <f>F19/F29</f>
        <v>114305981.06346209</v>
      </c>
    </row>
    <row r="35" spans="1:6" x14ac:dyDescent="0.25">
      <c r="A35" s="28" t="s">
        <v>24</v>
      </c>
      <c r="B35" s="28">
        <f>B33/B10</f>
        <v>116729.84189140108</v>
      </c>
      <c r="C35" s="28">
        <f>C33/C10</f>
        <v>122106.35399828218</v>
      </c>
      <c r="D35" s="28">
        <f>D33/D10</f>
        <v>103515.84172319638</v>
      </c>
      <c r="E35" s="28">
        <f>E33/E10</f>
        <v>103977.81324824206</v>
      </c>
      <c r="F35" s="28">
        <v>0</v>
      </c>
    </row>
    <row r="36" spans="1:6" x14ac:dyDescent="0.25">
      <c r="A36" s="28" t="s">
        <v>25</v>
      </c>
      <c r="B36" s="28">
        <f>B34/B12</f>
        <v>225310.11427813</v>
      </c>
      <c r="C36" s="28">
        <f>C34/C12</f>
        <v>110654.38631506496</v>
      </c>
      <c r="D36" s="28">
        <f>D34/D12</f>
        <v>110654.38631506494</v>
      </c>
      <c r="E36" s="28">
        <f>E34/E12</f>
        <v>82990.789736298713</v>
      </c>
      <c r="F36" s="28">
        <f>F34/F12</f>
        <v>253450.06887685609</v>
      </c>
    </row>
    <row r="38" spans="1:6" x14ac:dyDescent="0.25">
      <c r="A38" s="32" t="s">
        <v>26</v>
      </c>
    </row>
    <row r="40" spans="1:6" x14ac:dyDescent="0.25">
      <c r="A40" s="28" t="s">
        <v>27</v>
      </c>
    </row>
    <row r="41" spans="1:6" x14ac:dyDescent="0.25">
      <c r="A41" s="28" t="s">
        <v>28</v>
      </c>
      <c r="B41" s="19">
        <f>B11/B30*100</f>
        <v>2.120394812349363</v>
      </c>
      <c r="C41" s="19">
        <f>C11/C30*100</f>
        <v>0.32279352691380692</v>
      </c>
      <c r="D41" s="19">
        <f>D11/D30*100</f>
        <v>6.4558705382761386E-2</v>
      </c>
      <c r="E41" s="19">
        <f>E11/E30*100</f>
        <v>6.4558705382761386E-2</v>
      </c>
      <c r="F41" s="19">
        <f>F11/F30*100</f>
        <v>1.6684838746700335</v>
      </c>
    </row>
    <row r="42" spans="1:6" x14ac:dyDescent="0.25">
      <c r="A42" s="28" t="s">
        <v>29</v>
      </c>
      <c r="B42" s="19">
        <f>B12/B30*100</f>
        <v>0.80339722254103074</v>
      </c>
      <c r="C42" s="19">
        <f>C12/C30*100</f>
        <v>6.5993343280156089E-2</v>
      </c>
      <c r="D42" s="19">
        <f>D12/D30*100</f>
        <v>8.033972225410306E-2</v>
      </c>
      <c r="E42" s="19">
        <f>E12/E30*100</f>
        <v>1.0042465281762883E-2</v>
      </c>
      <c r="F42" s="19">
        <f>F12/F30*100</f>
        <v>0.64702169172500856</v>
      </c>
    </row>
    <row r="43" spans="1:6" x14ac:dyDescent="0.25">
      <c r="B43" s="19"/>
      <c r="C43" s="19"/>
      <c r="D43" s="19"/>
      <c r="E43" s="19"/>
      <c r="F43" s="19"/>
    </row>
    <row r="44" spans="1:6" x14ac:dyDescent="0.25">
      <c r="A44" s="28" t="s">
        <v>30</v>
      </c>
      <c r="B44" s="19"/>
      <c r="C44" s="19"/>
      <c r="D44" s="19"/>
      <c r="E44" s="19"/>
      <c r="F44" s="19"/>
    </row>
    <row r="45" spans="1:6" x14ac:dyDescent="0.25">
      <c r="A45" s="28" t="s">
        <v>31</v>
      </c>
      <c r="B45" s="19">
        <f>B12/B11*100</f>
        <v>37.889039242219212</v>
      </c>
      <c r="C45" s="19">
        <f>C12/C11*100</f>
        <v>20.444444444444446</v>
      </c>
      <c r="D45" s="19">
        <f>D12/D11*100</f>
        <v>124.44444444444444</v>
      </c>
      <c r="E45" s="19">
        <f>E12/E11*100</f>
        <v>15.555555555555555</v>
      </c>
      <c r="F45" s="19">
        <f>F12/F11*100</f>
        <v>38.779019776440244</v>
      </c>
    </row>
    <row r="46" spans="1:6" x14ac:dyDescent="0.25">
      <c r="A46" s="28" t="s">
        <v>32</v>
      </c>
      <c r="B46" s="19">
        <f>B19/B18*100</f>
        <v>37.348509662626924</v>
      </c>
      <c r="C46" s="19">
        <f>C19/C18*100</f>
        <v>6.5714285714285712</v>
      </c>
      <c r="D46" s="19">
        <f>D19/D18*100</f>
        <v>86.15384615384616</v>
      </c>
      <c r="E46" s="19">
        <f>E19/E18*100</f>
        <v>8.0769230769230766</v>
      </c>
      <c r="F46" s="19">
        <f>F19/F18*100</f>
        <v>46.468735942420153</v>
      </c>
    </row>
    <row r="47" spans="1:6" x14ac:dyDescent="0.25">
      <c r="A47" s="28" t="s">
        <v>33</v>
      </c>
      <c r="B47" s="19">
        <f>AVERAGE(B45:B46)</f>
        <v>37.618774452423068</v>
      </c>
      <c r="C47" s="19">
        <f>AVERAGE(C45:C46)</f>
        <v>13.50793650793651</v>
      </c>
      <c r="D47" s="19">
        <f>AVERAGE(D45:D46)</f>
        <v>105.29914529914529</v>
      </c>
      <c r="E47" s="19">
        <f>AVERAGE(E45:E46)</f>
        <v>11.816239316239315</v>
      </c>
      <c r="F47" s="19">
        <f>AVERAGE(F45:F46)</f>
        <v>42.623877859430195</v>
      </c>
    </row>
    <row r="48" spans="1:6" x14ac:dyDescent="0.25">
      <c r="B48" s="19"/>
      <c r="C48" s="19"/>
      <c r="D48" s="19"/>
      <c r="E48" s="19"/>
      <c r="F48" s="19"/>
    </row>
    <row r="49" spans="1:7" x14ac:dyDescent="0.25">
      <c r="A49" s="28" t="s">
        <v>34</v>
      </c>
      <c r="B49" s="19"/>
      <c r="C49" s="19"/>
      <c r="D49" s="19"/>
      <c r="E49" s="19"/>
      <c r="F49" s="19"/>
    </row>
    <row r="50" spans="1:7" x14ac:dyDescent="0.25">
      <c r="A50" s="28" t="s">
        <v>35</v>
      </c>
      <c r="B50" s="19">
        <f>B12/B14*100</f>
        <v>17.919999999999998</v>
      </c>
      <c r="C50" s="19">
        <f>C12/C14*100</f>
        <v>4.2047531992687386</v>
      </c>
      <c r="D50" s="19">
        <f>D12/D14*100</f>
        <v>23.931623931623932</v>
      </c>
      <c r="E50" s="19">
        <f>E12/E14*100</f>
        <v>2.9914529914529915</v>
      </c>
      <c r="F50" s="19">
        <f>F12/F14*100</f>
        <v>28.854766474728088</v>
      </c>
    </row>
    <row r="51" spans="1:7" x14ac:dyDescent="0.25">
      <c r="A51" s="28" t="s">
        <v>36</v>
      </c>
      <c r="B51" s="19">
        <f>B19/B20*100</f>
        <v>12.162666666666667</v>
      </c>
      <c r="C51" s="19">
        <f>C19/C20*100</f>
        <v>1.401584399756246</v>
      </c>
      <c r="D51" s="19">
        <f>D19/D20*100</f>
        <v>7.9772079772079767</v>
      </c>
      <c r="E51" s="19">
        <f>E19/E20*100</f>
        <v>0.74786324786324787</v>
      </c>
      <c r="F51" s="19">
        <f>F19/F20*100</f>
        <v>22.03028364256771</v>
      </c>
    </row>
    <row r="52" spans="1:7" x14ac:dyDescent="0.25">
      <c r="A52" s="28" t="s">
        <v>37</v>
      </c>
      <c r="B52" s="19">
        <f>(B50+B51)/2</f>
        <v>15.041333333333332</v>
      </c>
      <c r="C52" s="19">
        <f>(C50+C51)/2</f>
        <v>2.8031687995124921</v>
      </c>
      <c r="D52" s="19">
        <f>(D50+D51)/2</f>
        <v>15.954415954415953</v>
      </c>
      <c r="E52" s="19">
        <f>(E50+E51)/2</f>
        <v>1.8696581196581197</v>
      </c>
      <c r="F52" s="19">
        <f>(F50+F51)/2</f>
        <v>25.442525058647899</v>
      </c>
    </row>
    <row r="53" spans="1:7" x14ac:dyDescent="0.25">
      <c r="A53" s="34"/>
      <c r="B53" s="43"/>
      <c r="C53" s="43"/>
      <c r="D53" s="43"/>
      <c r="E53" s="43"/>
      <c r="F53" s="43"/>
      <c r="G53" s="34"/>
    </row>
    <row r="54" spans="1:7" x14ac:dyDescent="0.25">
      <c r="A54" s="34" t="s">
        <v>38</v>
      </c>
      <c r="B54" s="43">
        <f>B21/B19*100</f>
        <v>100</v>
      </c>
      <c r="C54" s="43">
        <f>C21/C19*100</f>
        <v>100</v>
      </c>
      <c r="D54" s="43">
        <f>D21/D19*100</f>
        <v>100</v>
      </c>
      <c r="E54" s="43">
        <f>E21/E19*100</f>
        <v>100</v>
      </c>
      <c r="F54" s="43">
        <f>F21/F19*100</f>
        <v>100</v>
      </c>
      <c r="G54" s="34"/>
    </row>
    <row r="55" spans="1:7" x14ac:dyDescent="0.25">
      <c r="A55" s="34"/>
      <c r="B55" s="43"/>
      <c r="C55" s="43"/>
      <c r="D55" s="43"/>
      <c r="E55" s="43"/>
      <c r="F55" s="43"/>
      <c r="G55" s="34"/>
    </row>
    <row r="56" spans="1:7" x14ac:dyDescent="0.25">
      <c r="A56" s="34" t="s">
        <v>39</v>
      </c>
      <c r="B56" s="43"/>
      <c r="C56" s="43"/>
      <c r="D56" s="43"/>
      <c r="E56" s="43"/>
      <c r="F56" s="43"/>
      <c r="G56" s="34"/>
    </row>
    <row r="57" spans="1:7" x14ac:dyDescent="0.25">
      <c r="A57" s="34" t="s">
        <v>40</v>
      </c>
      <c r="B57" s="43">
        <f>((B12/B10)-1)*100</f>
        <v>-31.372549019607842</v>
      </c>
      <c r="C57" s="43">
        <f>((C12/C10)-1)*100</f>
        <v>-92.027729636048534</v>
      </c>
      <c r="D57" s="43">
        <f>((D12/D10)-1)*100</f>
        <v>-52.542372881355924</v>
      </c>
      <c r="E57" s="43">
        <f>((E12/E10)-1)*100</f>
        <v>-94.214876033057848</v>
      </c>
      <c r="F57" s="56" t="s">
        <v>41</v>
      </c>
      <c r="G57" s="34"/>
    </row>
    <row r="58" spans="1:7" x14ac:dyDescent="0.25">
      <c r="A58" s="34" t="s">
        <v>42</v>
      </c>
      <c r="B58" s="43">
        <f>(((B19/B28)/B17)-1)*100</f>
        <v>0.35478732253924061</v>
      </c>
      <c r="C58" s="43">
        <f>(((C19/C28)/C17)-1)*100</f>
        <v>-94.526642384296366</v>
      </c>
      <c r="D58" s="43">
        <f>(((D19/D28)/D17)-1)*100</f>
        <v>-61.566558766669587</v>
      </c>
      <c r="E58" s="43">
        <f>(((E19/E28)/E17)-1)*100</f>
        <v>-96.501810567354624</v>
      </c>
      <c r="F58" s="56" t="s">
        <v>41</v>
      </c>
      <c r="G58" s="34"/>
    </row>
    <row r="59" spans="1:7" x14ac:dyDescent="0.25">
      <c r="A59" s="34" t="s">
        <v>43</v>
      </c>
      <c r="B59" s="43">
        <f>((B36/B35)-1)*100</f>
        <v>93.018435241046532</v>
      </c>
      <c r="C59" s="43">
        <f>((C36/C35)-1)*100</f>
        <v>-9.3786828516543288</v>
      </c>
      <c r="D59" s="43">
        <f>((D36/D35)-1)*100</f>
        <v>6.8960890169421418</v>
      </c>
      <c r="E59" s="43">
        <f>((E36/E35)-1)*100</f>
        <v>-20.184136265529872</v>
      </c>
      <c r="F59" s="56" t="s">
        <v>41</v>
      </c>
      <c r="G59" s="34"/>
    </row>
    <row r="60" spans="1:7" x14ac:dyDescent="0.25">
      <c r="A60" s="34"/>
      <c r="B60" s="34"/>
      <c r="C60" s="34"/>
      <c r="D60" s="34"/>
      <c r="E60" s="34"/>
      <c r="F60" s="34"/>
      <c r="G60" s="34"/>
    </row>
    <row r="61" spans="1:7" x14ac:dyDescent="0.25">
      <c r="A61" s="34" t="s">
        <v>44</v>
      </c>
      <c r="B61" s="34"/>
      <c r="C61" s="34"/>
      <c r="D61" s="34"/>
      <c r="E61" s="34"/>
      <c r="F61" s="34"/>
      <c r="G61" s="34"/>
    </row>
    <row r="62" spans="1:7" x14ac:dyDescent="0.25">
      <c r="A62" s="34" t="s">
        <v>124</v>
      </c>
      <c r="B62" s="34">
        <f t="shared" ref="B62:F63" si="0">B18/(B11*3)</f>
        <v>110166.89219666216</v>
      </c>
      <c r="C62" s="34">
        <f t="shared" si="0"/>
        <v>165925.92592592593</v>
      </c>
      <c r="D62" s="34">
        <f t="shared" si="0"/>
        <v>77037.037037037036</v>
      </c>
      <c r="E62" s="34">
        <f t="shared" si="0"/>
        <v>77037.037037037036</v>
      </c>
      <c r="F62" s="34">
        <f t="shared" si="0"/>
        <v>101943.25021496131</v>
      </c>
      <c r="G62" s="34"/>
    </row>
    <row r="63" spans="1:7" x14ac:dyDescent="0.25">
      <c r="A63" s="34" t="s">
        <v>125</v>
      </c>
      <c r="B63" s="34">
        <f t="shared" si="0"/>
        <v>108595.23809523809</v>
      </c>
      <c r="C63" s="34">
        <f t="shared" si="0"/>
        <v>53333.333333333336</v>
      </c>
      <c r="D63" s="34">
        <f t="shared" si="0"/>
        <v>53333.333333333336</v>
      </c>
      <c r="E63" s="34">
        <f t="shared" si="0"/>
        <v>40000</v>
      </c>
      <c r="F63" s="34">
        <f t="shared" si="0"/>
        <v>122158.16703621582</v>
      </c>
      <c r="G63" s="34"/>
    </row>
    <row r="64" spans="1:7" x14ac:dyDescent="0.25">
      <c r="A64" s="34" t="s">
        <v>111</v>
      </c>
      <c r="B64" s="34">
        <f>B19/B13</f>
        <v>159754.81611208405</v>
      </c>
      <c r="C64" s="34">
        <f>C19/C13</f>
        <v>160000</v>
      </c>
      <c r="D64" s="34">
        <f>D19/D13</f>
        <v>160000</v>
      </c>
      <c r="E64" s="34">
        <f>E19/E13</f>
        <v>120000</v>
      </c>
      <c r="F64" s="34">
        <f>F19/F13</f>
        <v>160000</v>
      </c>
      <c r="G64" s="34"/>
    </row>
    <row r="65" spans="1:7" x14ac:dyDescent="0.25">
      <c r="A65" s="34" t="s">
        <v>45</v>
      </c>
      <c r="B65" s="43">
        <f>(B62/B63)*B47</f>
        <v>38.163215462873694</v>
      </c>
      <c r="C65" s="43">
        <f>(C62/C63)*C47</f>
        <v>42.024691358024697</v>
      </c>
      <c r="D65" s="43">
        <f>(D62/D63)*D47</f>
        <v>152.09876543209876</v>
      </c>
      <c r="E65" s="43">
        <f>E62/E63*E47</f>
        <v>22.757201646090532</v>
      </c>
      <c r="F65" s="43">
        <f>F62/F63*F47</f>
        <v>35.570414579547759</v>
      </c>
      <c r="G65" s="34"/>
    </row>
    <row r="66" spans="1:7" x14ac:dyDescent="0.25">
      <c r="A66" s="34" t="s">
        <v>126</v>
      </c>
      <c r="B66" s="34">
        <f t="shared" ref="B66:F67" si="1">B18/B11</f>
        <v>330500.67658998648</v>
      </c>
      <c r="C66" s="34">
        <f t="shared" si="1"/>
        <v>497777.77777777775</v>
      </c>
      <c r="D66" s="34">
        <f t="shared" si="1"/>
        <v>231111.11111111112</v>
      </c>
      <c r="E66" s="34">
        <f t="shared" si="1"/>
        <v>231111.11111111112</v>
      </c>
      <c r="F66" s="34">
        <f t="shared" si="1"/>
        <v>305829.7506448839</v>
      </c>
      <c r="G66" s="34"/>
    </row>
    <row r="67" spans="1:7" x14ac:dyDescent="0.25">
      <c r="A67" s="34" t="s">
        <v>127</v>
      </c>
      <c r="B67" s="34">
        <f t="shared" si="1"/>
        <v>325785.71428571426</v>
      </c>
      <c r="C67" s="34">
        <f t="shared" si="1"/>
        <v>160000</v>
      </c>
      <c r="D67" s="34">
        <f t="shared" si="1"/>
        <v>160000</v>
      </c>
      <c r="E67" s="34">
        <f t="shared" si="1"/>
        <v>120000</v>
      </c>
      <c r="F67" s="34">
        <f t="shared" si="1"/>
        <v>366474.50110864744</v>
      </c>
      <c r="G67" s="34"/>
    </row>
    <row r="68" spans="1:7" x14ac:dyDescent="0.25">
      <c r="A68" s="34"/>
      <c r="B68" s="34"/>
      <c r="C68" s="34"/>
      <c r="D68" s="34"/>
      <c r="E68" s="34"/>
      <c r="F68" s="34"/>
      <c r="G68" s="34"/>
    </row>
    <row r="69" spans="1:7" x14ac:dyDescent="0.25">
      <c r="A69" s="34" t="s">
        <v>46</v>
      </c>
      <c r="B69" s="34"/>
      <c r="C69" s="34"/>
      <c r="D69" s="34"/>
      <c r="E69" s="34"/>
      <c r="F69" s="34"/>
      <c r="G69" s="34"/>
    </row>
    <row r="70" spans="1:7" x14ac:dyDescent="0.25">
      <c r="A70" s="34" t="s">
        <v>47</v>
      </c>
      <c r="B70" s="56">
        <f>(B25/B24)*100</f>
        <v>0</v>
      </c>
      <c r="C70" s="38"/>
      <c r="D70" s="38"/>
      <c r="E70" s="38"/>
      <c r="F70" s="38"/>
      <c r="G70" s="57"/>
    </row>
    <row r="71" spans="1:7" x14ac:dyDescent="0.25">
      <c r="A71" s="34" t="s">
        <v>48</v>
      </c>
      <c r="B71" s="56" t="e">
        <f>(B19/B25)*100</f>
        <v>#DIV/0!</v>
      </c>
      <c r="C71" s="38"/>
      <c r="D71" s="38"/>
      <c r="E71" s="38"/>
      <c r="F71" s="38"/>
      <c r="G71" s="57"/>
    </row>
    <row r="72" spans="1:7" ht="15.75" thickBot="1" x14ac:dyDescent="0.3">
      <c r="A72" s="58"/>
      <c r="B72" s="58"/>
      <c r="C72" s="58"/>
      <c r="D72" s="58"/>
      <c r="E72" s="58"/>
      <c r="F72" s="58"/>
      <c r="G72" s="34"/>
    </row>
    <row r="73" spans="1:7" ht="15.75" thickTop="1" x14ac:dyDescent="0.25"/>
    <row r="74" spans="1:7" x14ac:dyDescent="0.25">
      <c r="A74" s="40" t="s">
        <v>61</v>
      </c>
    </row>
    <row r="75" spans="1:7" x14ac:dyDescent="0.25">
      <c r="A75" s="28" t="s">
        <v>112</v>
      </c>
    </row>
    <row r="76" spans="1:7" x14ac:dyDescent="0.25">
      <c r="A76" s="28" t="s">
        <v>114</v>
      </c>
    </row>
    <row r="77" spans="1:7" x14ac:dyDescent="0.25">
      <c r="A77" s="28" t="s">
        <v>113</v>
      </c>
    </row>
    <row r="78" spans="1:7" x14ac:dyDescent="0.25">
      <c r="A78" s="28" t="s">
        <v>118</v>
      </c>
    </row>
    <row r="80" spans="1:7" x14ac:dyDescent="0.25">
      <c r="A80" s="28" t="s">
        <v>115</v>
      </c>
    </row>
    <row r="81" spans="1:1" x14ac:dyDescent="0.25">
      <c r="A81" s="41" t="s">
        <v>116</v>
      </c>
    </row>
    <row r="82" spans="1:1" x14ac:dyDescent="0.25">
      <c r="A82" s="41" t="s">
        <v>117</v>
      </c>
    </row>
    <row r="83" spans="1:1" x14ac:dyDescent="0.25">
      <c r="A83" s="41" t="s">
        <v>119</v>
      </c>
    </row>
    <row r="84" spans="1:1" x14ac:dyDescent="0.25">
      <c r="A84" s="41" t="s">
        <v>120</v>
      </c>
    </row>
    <row r="85" spans="1:1" x14ac:dyDescent="0.25">
      <c r="A85" s="42" t="s">
        <v>121</v>
      </c>
    </row>
  </sheetData>
  <mergeCells count="3">
    <mergeCell ref="A2:F2"/>
    <mergeCell ref="A4:A5"/>
    <mergeCell ref="C4:F4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workbookViewId="0">
      <selection activeCell="A62" sqref="A62:F66"/>
    </sheetView>
  </sheetViews>
  <sheetFormatPr baseColWidth="10" defaultRowHeight="15" x14ac:dyDescent="0.25"/>
  <cols>
    <col min="1" max="1" width="55.140625" customWidth="1"/>
    <col min="2" max="2" width="15.28515625" bestFit="1" customWidth="1"/>
    <col min="3" max="6" width="13.7109375" bestFit="1" customWidth="1"/>
  </cols>
  <sheetData>
    <row r="2" spans="1:6" ht="15.75" x14ac:dyDescent="0.25">
      <c r="A2" s="53" t="s">
        <v>49</v>
      </c>
      <c r="B2" s="53"/>
      <c r="C2" s="53"/>
      <c r="D2" s="53"/>
      <c r="E2" s="53"/>
      <c r="F2" s="53"/>
    </row>
    <row r="4" spans="1:6" x14ac:dyDescent="0.25">
      <c r="A4" s="48" t="s">
        <v>1</v>
      </c>
      <c r="B4" s="50" t="s">
        <v>2</v>
      </c>
      <c r="C4" s="52" t="s">
        <v>3</v>
      </c>
      <c r="D4" s="52"/>
      <c r="E4" s="52"/>
      <c r="F4" s="52"/>
    </row>
    <row r="5" spans="1:6" ht="15.75" thickBot="1" x14ac:dyDescent="0.3">
      <c r="A5" s="49"/>
      <c r="B5" s="51"/>
      <c r="C5" s="1" t="s">
        <v>4</v>
      </c>
      <c r="D5" s="1" t="s">
        <v>5</v>
      </c>
      <c r="E5" s="1" t="s">
        <v>6</v>
      </c>
      <c r="F5" s="1" t="s">
        <v>7</v>
      </c>
    </row>
    <row r="6" spans="1:6" ht="15.75" thickTop="1" x14ac:dyDescent="0.25"/>
    <row r="7" spans="1:6" x14ac:dyDescent="0.25">
      <c r="A7" s="2" t="s">
        <v>8</v>
      </c>
    </row>
    <row r="9" spans="1:6" x14ac:dyDescent="0.25">
      <c r="A9" t="s">
        <v>9</v>
      </c>
    </row>
    <row r="10" spans="1:6" x14ac:dyDescent="0.25">
      <c r="A10" s="3" t="s">
        <v>50</v>
      </c>
      <c r="B10" s="16">
        <f>SUM(C10:F10)</f>
        <v>1948</v>
      </c>
      <c r="C10" s="16">
        <f>556+431+542</f>
        <v>1529</v>
      </c>
      <c r="D10" s="16">
        <f>54+66+23</f>
        <v>143</v>
      </c>
      <c r="E10" s="16">
        <f>105+73+98</f>
        <v>276</v>
      </c>
      <c r="F10" s="16"/>
    </row>
    <row r="11" spans="1:6" x14ac:dyDescent="0.25">
      <c r="A11" s="3" t="s">
        <v>51</v>
      </c>
      <c r="B11" s="16">
        <f>SUM(C11:F11)</f>
        <v>1005</v>
      </c>
      <c r="C11" s="16">
        <v>425</v>
      </c>
      <c r="D11" s="16">
        <v>90</v>
      </c>
      <c r="E11" s="16">
        <v>90</v>
      </c>
      <c r="F11" s="16">
        <v>400</v>
      </c>
    </row>
    <row r="12" spans="1:6" x14ac:dyDescent="0.25">
      <c r="A12" s="3" t="s">
        <v>52</v>
      </c>
      <c r="B12" s="16">
        <f>SUM(C12:F12)</f>
        <v>1276</v>
      </c>
      <c r="C12" s="16">
        <v>1105</v>
      </c>
      <c r="D12" s="16">
        <v>78</v>
      </c>
      <c r="E12" s="16">
        <v>77</v>
      </c>
      <c r="F12" s="16">
        <v>16</v>
      </c>
    </row>
    <row r="13" spans="1:6" x14ac:dyDescent="0.25">
      <c r="A13" s="20" t="s">
        <v>110</v>
      </c>
      <c r="B13" s="16">
        <f>SUM(C13:F13)</f>
        <v>2687</v>
      </c>
      <c r="C13" s="16">
        <v>1889</v>
      </c>
      <c r="D13" s="16">
        <v>239</v>
      </c>
      <c r="E13" s="16">
        <v>166</v>
      </c>
      <c r="F13" s="16">
        <v>393</v>
      </c>
    </row>
    <row r="14" spans="1:6" x14ac:dyDescent="0.25">
      <c r="A14" s="3" t="s">
        <v>13</v>
      </c>
      <c r="B14" s="16">
        <f>SUM(C14:F14)</f>
        <v>3125</v>
      </c>
      <c r="C14" s="16">
        <v>1094</v>
      </c>
      <c r="D14" s="16">
        <v>234</v>
      </c>
      <c r="E14" s="16">
        <v>234</v>
      </c>
      <c r="F14" s="16">
        <v>1563</v>
      </c>
    </row>
    <row r="15" spans="1:6" x14ac:dyDescent="0.25">
      <c r="B15" s="18"/>
    </row>
    <row r="16" spans="1:6" x14ac:dyDescent="0.25">
      <c r="A16" s="5" t="s">
        <v>14</v>
      </c>
      <c r="B16" s="18"/>
    </row>
    <row r="17" spans="1:7" x14ac:dyDescent="0.25">
      <c r="A17" s="3" t="s">
        <v>53</v>
      </c>
      <c r="B17" s="16">
        <f>SUM(C17:F17)</f>
        <v>737640000</v>
      </c>
      <c r="C17" s="16">
        <v>570105000</v>
      </c>
      <c r="D17" s="16">
        <v>56801250</v>
      </c>
      <c r="E17" s="16">
        <v>110733750</v>
      </c>
      <c r="F17" s="16">
        <v>0</v>
      </c>
    </row>
    <row r="18" spans="1:7" x14ac:dyDescent="0.25">
      <c r="A18" s="3" t="s">
        <v>51</v>
      </c>
      <c r="B18" s="16">
        <f>SUM(C18:F18)</f>
        <v>673760000</v>
      </c>
      <c r="C18" s="16">
        <v>199200000</v>
      </c>
      <c r="D18" s="16">
        <v>40000000</v>
      </c>
      <c r="E18" s="16">
        <v>40000000</v>
      </c>
      <c r="F18" s="16">
        <v>394560000</v>
      </c>
    </row>
    <row r="19" spans="1:7" x14ac:dyDescent="0.25">
      <c r="A19" s="3" t="s">
        <v>52</v>
      </c>
      <c r="B19" s="16">
        <f>SUM(C19:F19)</f>
        <v>424840000</v>
      </c>
      <c r="C19" s="16">
        <v>302240000</v>
      </c>
      <c r="D19" s="16">
        <v>36640000</v>
      </c>
      <c r="E19" s="16">
        <v>23080000</v>
      </c>
      <c r="F19" s="16">
        <v>62880000</v>
      </c>
    </row>
    <row r="20" spans="1:7" x14ac:dyDescent="0.25">
      <c r="A20" s="3" t="s">
        <v>13</v>
      </c>
      <c r="B20" s="16">
        <f>SUM(C20:F20)</f>
        <v>1500000000</v>
      </c>
      <c r="C20" s="16">
        <v>525120000</v>
      </c>
      <c r="D20" s="16">
        <v>112320000</v>
      </c>
      <c r="E20" s="16">
        <v>112320000</v>
      </c>
      <c r="F20" s="16">
        <v>750240000</v>
      </c>
    </row>
    <row r="21" spans="1:7" x14ac:dyDescent="0.25">
      <c r="A21" s="3" t="s">
        <v>54</v>
      </c>
      <c r="B21" s="16">
        <f>SUM(C21:F21)</f>
        <v>424840000</v>
      </c>
      <c r="C21" s="16">
        <f>C19</f>
        <v>302240000</v>
      </c>
      <c r="D21" s="16">
        <f>D19</f>
        <v>36640000</v>
      </c>
      <c r="E21" s="16">
        <f>E19</f>
        <v>23080000</v>
      </c>
      <c r="F21" s="16">
        <f>F19</f>
        <v>62880000</v>
      </c>
    </row>
    <row r="22" spans="1:7" x14ac:dyDescent="0.25">
      <c r="B22" s="16"/>
      <c r="C22" s="4"/>
      <c r="D22" s="4"/>
      <c r="E22" s="4"/>
    </row>
    <row r="23" spans="1:7" x14ac:dyDescent="0.25">
      <c r="A23" t="s">
        <v>16</v>
      </c>
      <c r="B23" s="18"/>
    </row>
    <row r="24" spans="1:7" x14ac:dyDescent="0.25">
      <c r="A24" s="6" t="s">
        <v>51</v>
      </c>
      <c r="B24" s="16">
        <f>B18</f>
        <v>673760000</v>
      </c>
      <c r="C24" s="16">
        <f>C18</f>
        <v>199200000</v>
      </c>
      <c r="D24" s="16">
        <f>D18</f>
        <v>40000000</v>
      </c>
      <c r="E24" s="16">
        <f>E18</f>
        <v>40000000</v>
      </c>
      <c r="F24" s="16">
        <f>F18</f>
        <v>394560000</v>
      </c>
      <c r="G24" s="7"/>
    </row>
    <row r="25" spans="1:7" x14ac:dyDescent="0.25">
      <c r="A25" s="6" t="s">
        <v>52</v>
      </c>
      <c r="B25" s="16">
        <v>257760000</v>
      </c>
      <c r="C25" s="26"/>
      <c r="D25" s="26"/>
      <c r="E25" s="26"/>
      <c r="F25" s="26"/>
      <c r="G25" s="7"/>
    </row>
    <row r="27" spans="1:7" x14ac:dyDescent="0.25">
      <c r="A27" t="s">
        <v>17</v>
      </c>
    </row>
    <row r="28" spans="1:7" x14ac:dyDescent="0.25">
      <c r="A28" t="s">
        <v>55</v>
      </c>
      <c r="B28" s="6">
        <v>1.39</v>
      </c>
      <c r="C28" s="6">
        <v>1.39</v>
      </c>
      <c r="D28" s="6">
        <v>1.39</v>
      </c>
      <c r="E28" s="6">
        <v>1.39</v>
      </c>
      <c r="F28" s="6">
        <v>1.39</v>
      </c>
    </row>
    <row r="29" spans="1:7" x14ac:dyDescent="0.25">
      <c r="A29" t="s">
        <v>56</v>
      </c>
      <c r="B29" s="6">
        <v>1.46</v>
      </c>
      <c r="C29" s="6">
        <v>1.46</v>
      </c>
      <c r="D29" s="6">
        <v>1.46</v>
      </c>
      <c r="E29" s="6">
        <v>1.46</v>
      </c>
      <c r="F29" s="6">
        <v>1.46</v>
      </c>
    </row>
    <row r="30" spans="1:7" x14ac:dyDescent="0.25">
      <c r="A30" t="s">
        <v>20</v>
      </c>
      <c r="B30" s="4">
        <v>69704</v>
      </c>
      <c r="C30" s="4">
        <v>69704</v>
      </c>
      <c r="D30" s="4">
        <v>69704</v>
      </c>
      <c r="E30" s="4">
        <v>69704</v>
      </c>
      <c r="F30" s="4">
        <v>69704</v>
      </c>
    </row>
    <row r="32" spans="1:7" x14ac:dyDescent="0.25">
      <c r="A32" t="s">
        <v>21</v>
      </c>
    </row>
    <row r="33" spans="1:6" x14ac:dyDescent="0.25">
      <c r="A33" t="s">
        <v>57</v>
      </c>
      <c r="B33" s="6">
        <f>B17/B28</f>
        <v>530676258.99280578</v>
      </c>
      <c r="C33" s="6">
        <f>C17/C28</f>
        <v>410147482.0143885</v>
      </c>
      <c r="D33" s="6">
        <f>D17/D28</f>
        <v>40864208.633093528</v>
      </c>
      <c r="E33" s="6">
        <f>E17/E28</f>
        <v>79664568.345323741</v>
      </c>
      <c r="F33" s="6">
        <f>F17/F28</f>
        <v>0</v>
      </c>
    </row>
    <row r="34" spans="1:6" x14ac:dyDescent="0.25">
      <c r="A34" t="s">
        <v>58</v>
      </c>
      <c r="B34" s="6">
        <f>B19/B29</f>
        <v>290986301.36986303</v>
      </c>
      <c r="C34" s="6">
        <f>C19/C29</f>
        <v>207013698.630137</v>
      </c>
      <c r="D34" s="6">
        <f>D19/D29</f>
        <v>25095890.410958905</v>
      </c>
      <c r="E34" s="6">
        <f>E19/E29</f>
        <v>15808219.178082192</v>
      </c>
      <c r="F34" s="6">
        <f>F19/F29</f>
        <v>43068493.15068493</v>
      </c>
    </row>
    <row r="35" spans="1:6" x14ac:dyDescent="0.25">
      <c r="A35" t="s">
        <v>59</v>
      </c>
      <c r="B35" s="6">
        <f>B33/B10</f>
        <v>272421.07751170726</v>
      </c>
      <c r="C35" s="6">
        <f>C33/C10</f>
        <v>268245.57358691201</v>
      </c>
      <c r="D35" s="6">
        <f>D33/D10</f>
        <v>285763.69673491979</v>
      </c>
      <c r="E35" s="6">
        <f>E33/E10</f>
        <v>288639.74038160779</v>
      </c>
      <c r="F35" s="6">
        <v>0</v>
      </c>
    </row>
    <row r="36" spans="1:6" x14ac:dyDescent="0.25">
      <c r="A36" t="s">
        <v>60</v>
      </c>
      <c r="B36" s="6">
        <f>B34/B12</f>
        <v>228045.69072873279</v>
      </c>
      <c r="C36" s="6">
        <f>C34/C12</f>
        <v>187342.71369243166</v>
      </c>
      <c r="D36" s="6">
        <f>D34/D12</f>
        <v>321742.18475588341</v>
      </c>
      <c r="E36" s="6">
        <f>E34/E12</f>
        <v>205301.54776730121</v>
      </c>
      <c r="F36" s="6">
        <f>F34/F12</f>
        <v>2691780.8219178081</v>
      </c>
    </row>
    <row r="38" spans="1:6" x14ac:dyDescent="0.25">
      <c r="A38" s="2" t="s">
        <v>26</v>
      </c>
    </row>
    <row r="40" spans="1:6" x14ac:dyDescent="0.25">
      <c r="A40" t="s">
        <v>27</v>
      </c>
    </row>
    <row r="41" spans="1:6" x14ac:dyDescent="0.25">
      <c r="A41" t="s">
        <v>28</v>
      </c>
      <c r="B41" s="6">
        <f>B11/B30*100</f>
        <v>1.4418110868816711</v>
      </c>
      <c r="C41" s="6">
        <f>C11/C30*100</f>
        <v>0.60972110639274646</v>
      </c>
      <c r="D41" s="6">
        <f>D11/D30*100</f>
        <v>0.12911741076552277</v>
      </c>
      <c r="E41" s="6">
        <f>E11/E30*100</f>
        <v>0.12911741076552277</v>
      </c>
      <c r="F41" s="6">
        <f>F11/F30*100</f>
        <v>0.57385515895787897</v>
      </c>
    </row>
    <row r="42" spans="1:6" x14ac:dyDescent="0.25">
      <c r="A42" t="s">
        <v>29</v>
      </c>
      <c r="B42" s="6">
        <f>B12/B30*100</f>
        <v>1.8305979570756341</v>
      </c>
      <c r="C42" s="6">
        <f>C12/C30*100</f>
        <v>1.5852748766211406</v>
      </c>
      <c r="D42" s="6">
        <f>D12/D30*100</f>
        <v>0.11190175599678641</v>
      </c>
      <c r="E42" s="6">
        <f>E12/E30*100</f>
        <v>0.11046711809939171</v>
      </c>
      <c r="F42" s="6">
        <f>F12/F30*100</f>
        <v>2.295420635831516E-2</v>
      </c>
    </row>
    <row r="44" spans="1:6" x14ac:dyDescent="0.25">
      <c r="A44" t="s">
        <v>30</v>
      </c>
    </row>
    <row r="45" spans="1:6" x14ac:dyDescent="0.25">
      <c r="A45" t="s">
        <v>31</v>
      </c>
      <c r="B45" s="6">
        <f>B12/B11*100</f>
        <v>126.96517412935324</v>
      </c>
      <c r="C45" s="6">
        <f>C12/C11*100</f>
        <v>260</v>
      </c>
      <c r="D45" s="6">
        <f>D12/D11*100</f>
        <v>86.666666666666671</v>
      </c>
      <c r="E45" s="6">
        <f>E12/E11*100</f>
        <v>85.555555555555557</v>
      </c>
      <c r="F45" s="6">
        <f>F12/F11*100</f>
        <v>4</v>
      </c>
    </row>
    <row r="46" spans="1:6" x14ac:dyDescent="0.25">
      <c r="A46" t="s">
        <v>32</v>
      </c>
      <c r="B46" s="6">
        <f>B19/B18*100</f>
        <v>63.05509380194728</v>
      </c>
      <c r="C46" s="6">
        <f>C19/C18*100</f>
        <v>151.72690763052208</v>
      </c>
      <c r="D46" s="6">
        <f>D19/D18*100</f>
        <v>91.600000000000009</v>
      </c>
      <c r="E46" s="6">
        <f>E19/E18*100</f>
        <v>57.699999999999996</v>
      </c>
      <c r="F46" s="6">
        <f>F19/F18*100</f>
        <v>15.936739659367397</v>
      </c>
    </row>
    <row r="47" spans="1:6" x14ac:dyDescent="0.25">
      <c r="A47" t="s">
        <v>33</v>
      </c>
      <c r="B47" s="6">
        <f>AVERAGE(B45:B46)</f>
        <v>95.010133965650255</v>
      </c>
      <c r="C47" s="6">
        <f>AVERAGE(C45:C46)</f>
        <v>205.86345381526104</v>
      </c>
      <c r="D47" s="6">
        <f>AVERAGE(D45:D46)</f>
        <v>89.13333333333334</v>
      </c>
      <c r="E47" s="6">
        <f>AVERAGE(E45:E46)</f>
        <v>71.62777777777778</v>
      </c>
      <c r="F47" s="6">
        <f>AVERAGE(F45:F46)</f>
        <v>9.9683698296836987</v>
      </c>
    </row>
    <row r="48" spans="1:6" x14ac:dyDescent="0.25">
      <c r="B48" s="9"/>
      <c r="C48" s="9"/>
      <c r="D48" s="9"/>
      <c r="E48" s="9"/>
    </row>
    <row r="49" spans="1:6" x14ac:dyDescent="0.25">
      <c r="A49" t="s">
        <v>34</v>
      </c>
    </row>
    <row r="50" spans="1:6" x14ac:dyDescent="0.25">
      <c r="A50" t="s">
        <v>35</v>
      </c>
      <c r="B50" s="6">
        <f>B12/B14*100</f>
        <v>40.832000000000001</v>
      </c>
      <c r="C50" s="6">
        <f>C12/C14*100</f>
        <v>101.0054844606947</v>
      </c>
      <c r="D50" s="6">
        <f>D12/D14*100</f>
        <v>33.333333333333329</v>
      </c>
      <c r="E50" s="6">
        <f>E12/E14*100</f>
        <v>32.905982905982903</v>
      </c>
      <c r="F50" s="6">
        <f>F12/F14*100</f>
        <v>1.0236724248240563</v>
      </c>
    </row>
    <row r="51" spans="1:6" x14ac:dyDescent="0.25">
      <c r="A51" t="s">
        <v>36</v>
      </c>
      <c r="B51" s="6">
        <f>B19/B20*100</f>
        <v>28.322666666666667</v>
      </c>
      <c r="C51" s="6">
        <f>C19/C20*100</f>
        <v>57.556368068251061</v>
      </c>
      <c r="D51" s="6">
        <f>D19/D20*100</f>
        <v>32.621082621082621</v>
      </c>
      <c r="E51" s="6">
        <f>E19/E20*100</f>
        <v>20.548433048433047</v>
      </c>
      <c r="F51" s="6">
        <f>F19/F20*100</f>
        <v>8.38131797824696</v>
      </c>
    </row>
    <row r="52" spans="1:6" x14ac:dyDescent="0.25">
      <c r="A52" t="s">
        <v>37</v>
      </c>
      <c r="B52" s="6">
        <f>(B50+B51)/2</f>
        <v>34.577333333333335</v>
      </c>
      <c r="C52" s="6">
        <f>(C50+C51)/2</f>
        <v>79.280926264472882</v>
      </c>
      <c r="D52" s="6">
        <f>(D50+D51)/2</f>
        <v>32.977207977207975</v>
      </c>
      <c r="E52" s="6">
        <f>(E50+E51)/2</f>
        <v>26.727207977207975</v>
      </c>
      <c r="F52" s="6">
        <f>(F50+F51)/2</f>
        <v>4.7024952015355082</v>
      </c>
    </row>
    <row r="54" spans="1:6" x14ac:dyDescent="0.25">
      <c r="A54" t="s">
        <v>38</v>
      </c>
      <c r="B54" s="6">
        <f>B21/B19*100</f>
        <v>100</v>
      </c>
      <c r="C54" s="6">
        <f>C21/C19*100</f>
        <v>100</v>
      </c>
      <c r="D54" s="6">
        <f>D21/D19*100</f>
        <v>100</v>
      </c>
      <c r="E54" s="6">
        <f>E21/E19*100</f>
        <v>100</v>
      </c>
      <c r="F54" s="6">
        <f>F21/F19*100</f>
        <v>100</v>
      </c>
    </row>
    <row r="56" spans="1:6" x14ac:dyDescent="0.25">
      <c r="A56" t="s">
        <v>39</v>
      </c>
    </row>
    <row r="57" spans="1:6" x14ac:dyDescent="0.25">
      <c r="A57" t="s">
        <v>40</v>
      </c>
      <c r="B57" s="6">
        <f>((B12/B10)-1)*100</f>
        <v>-34.496919917864474</v>
      </c>
      <c r="C57" s="6">
        <f>((C12/C10)-1)*100</f>
        <v>-27.730542838456508</v>
      </c>
      <c r="D57" s="6">
        <f>((D12/D10)-1)*100</f>
        <v>-45.45454545454546</v>
      </c>
      <c r="E57" s="6">
        <f>((E12/E10)-1)*100</f>
        <v>-72.101449275362313</v>
      </c>
      <c r="F57" s="10" t="s">
        <v>41</v>
      </c>
    </row>
    <row r="58" spans="1:6" x14ac:dyDescent="0.25">
      <c r="A58" t="s">
        <v>42</v>
      </c>
      <c r="B58" s="6">
        <f>((B34/B33)-1)*100</f>
        <v>-45.166889145909984</v>
      </c>
      <c r="C58" s="6">
        <f>((C34/C33)-1)*100</f>
        <v>-49.52700974453996</v>
      </c>
      <c r="D58" s="6">
        <f>((D34/D33)-1)*100</f>
        <v>-38.58711265820228</v>
      </c>
      <c r="E58" s="6">
        <f>((E34/E33)-1)*100</f>
        <v>-80.156524404227042</v>
      </c>
      <c r="F58" s="10" t="s">
        <v>41</v>
      </c>
    </row>
    <row r="59" spans="1:6" x14ac:dyDescent="0.25">
      <c r="A59" t="s">
        <v>43</v>
      </c>
      <c r="B59" s="6">
        <f>((B36/B35)-1)*100</f>
        <v>-16.289263366953477</v>
      </c>
      <c r="C59" s="6">
        <f>((C36/C35)-1)*100</f>
        <v>-30.159998099005982</v>
      </c>
      <c r="D59" s="6">
        <f>((D36/D35)-1)*100</f>
        <v>12.590293459962476</v>
      </c>
      <c r="E59" s="6">
        <f>((E36/E35)-1)*100</f>
        <v>-28.872736825541057</v>
      </c>
      <c r="F59" s="10" t="s">
        <v>41</v>
      </c>
    </row>
    <row r="60" spans="1:6" x14ac:dyDescent="0.25">
      <c r="B60" s="11"/>
      <c r="C60" s="11"/>
      <c r="D60" s="11"/>
      <c r="E60" s="11"/>
    </row>
    <row r="61" spans="1:6" x14ac:dyDescent="0.25">
      <c r="A61" t="s">
        <v>44</v>
      </c>
    </row>
    <row r="62" spans="1:6" x14ac:dyDescent="0.25">
      <c r="A62" s="18" t="s">
        <v>124</v>
      </c>
      <c r="B62" s="16">
        <f t="shared" ref="B62:F63" si="0">B18/(B11*3)</f>
        <v>223469.320066335</v>
      </c>
      <c r="C62" s="16">
        <f t="shared" si="0"/>
        <v>156235.29411764705</v>
      </c>
      <c r="D62" s="16">
        <f t="shared" si="0"/>
        <v>148148.14814814815</v>
      </c>
      <c r="E62" s="16">
        <f t="shared" si="0"/>
        <v>148148.14814814815</v>
      </c>
      <c r="F62" s="16">
        <f t="shared" si="0"/>
        <v>328800</v>
      </c>
    </row>
    <row r="63" spans="1:6" x14ac:dyDescent="0.25">
      <c r="A63" s="18" t="s">
        <v>125</v>
      </c>
      <c r="B63" s="16">
        <f t="shared" si="0"/>
        <v>110982.23615464995</v>
      </c>
      <c r="C63" s="16">
        <f t="shared" si="0"/>
        <v>91173.453996983415</v>
      </c>
      <c r="D63" s="16">
        <f t="shared" si="0"/>
        <v>156581.19658119659</v>
      </c>
      <c r="E63" s="16">
        <f t="shared" si="0"/>
        <v>99913.419913419915</v>
      </c>
      <c r="F63" s="16">
        <f t="shared" si="0"/>
        <v>1310000</v>
      </c>
    </row>
    <row r="64" spans="1:6" x14ac:dyDescent="0.25">
      <c r="A64" s="18" t="s">
        <v>111</v>
      </c>
      <c r="B64" s="16">
        <f>B19/B13</f>
        <v>158109.41570524749</v>
      </c>
      <c r="C64" s="16">
        <f>C19/C13</f>
        <v>160000</v>
      </c>
      <c r="D64" s="16">
        <f>D19/D13</f>
        <v>153305.43933054394</v>
      </c>
      <c r="E64" s="16">
        <f>E19/E13</f>
        <v>139036.14457831325</v>
      </c>
      <c r="F64" s="16">
        <f>F19/F13</f>
        <v>160000</v>
      </c>
    </row>
    <row r="65" spans="1:7" x14ac:dyDescent="0.25">
      <c r="A65" s="18" t="s">
        <v>45</v>
      </c>
      <c r="B65" s="59">
        <f>(B62/B63)*B47</f>
        <v>191.30854425323892</v>
      </c>
      <c r="C65" s="59">
        <f>(C62/C63)*C47</f>
        <v>352.7686606670195</v>
      </c>
      <c r="D65" s="59">
        <f>(D62/D63)*D47</f>
        <v>84.332848131974771</v>
      </c>
      <c r="E65" s="59">
        <f>E62/E63*E47</f>
        <v>106.20718060637182</v>
      </c>
      <c r="F65" s="59">
        <f>F62/F63*F47</f>
        <v>2.5019847328244276</v>
      </c>
    </row>
    <row r="66" spans="1:7" x14ac:dyDescent="0.25">
      <c r="A66" s="18" t="s">
        <v>126</v>
      </c>
      <c r="B66" s="16">
        <f t="shared" ref="B66:F67" si="1">B18/B11</f>
        <v>670407.96019900497</v>
      </c>
      <c r="C66" s="16">
        <f t="shared" si="1"/>
        <v>468705.8823529412</v>
      </c>
      <c r="D66" s="16">
        <f t="shared" si="1"/>
        <v>444444.44444444444</v>
      </c>
      <c r="E66" s="16">
        <f t="shared" si="1"/>
        <v>444444.44444444444</v>
      </c>
      <c r="F66" s="16">
        <f t="shared" si="1"/>
        <v>986400</v>
      </c>
    </row>
    <row r="67" spans="1:7" x14ac:dyDescent="0.25">
      <c r="A67" t="s">
        <v>127</v>
      </c>
      <c r="B67" s="4">
        <f t="shared" si="1"/>
        <v>332946.70846394985</v>
      </c>
      <c r="C67" s="4">
        <f t="shared" si="1"/>
        <v>273520.36199095024</v>
      </c>
      <c r="D67" s="4">
        <f t="shared" si="1"/>
        <v>469743.58974358975</v>
      </c>
      <c r="E67" s="4">
        <f t="shared" si="1"/>
        <v>299740.25974025973</v>
      </c>
      <c r="F67" s="4">
        <f t="shared" si="1"/>
        <v>3930000</v>
      </c>
    </row>
    <row r="68" spans="1:7" x14ac:dyDescent="0.25">
      <c r="B68" s="9"/>
      <c r="C68" s="9"/>
      <c r="D68" s="9"/>
      <c r="E68" s="9"/>
    </row>
    <row r="69" spans="1:7" x14ac:dyDescent="0.25">
      <c r="A69" t="s">
        <v>46</v>
      </c>
      <c r="B69" s="9"/>
      <c r="C69" s="9"/>
      <c r="D69" s="9"/>
      <c r="E69" s="9"/>
    </row>
    <row r="70" spans="1:7" x14ac:dyDescent="0.25">
      <c r="A70" t="s">
        <v>47</v>
      </c>
      <c r="B70" s="8">
        <f>(B25/B24)*100</f>
        <v>38.256946093564473</v>
      </c>
      <c r="C70" s="8"/>
      <c r="D70" s="8"/>
      <c r="E70" s="8"/>
      <c r="F70" s="8"/>
      <c r="G70" s="7"/>
    </row>
    <row r="71" spans="1:7" x14ac:dyDescent="0.25">
      <c r="A71" t="s">
        <v>48</v>
      </c>
      <c r="B71" s="8">
        <f>(B19/B25)*100</f>
        <v>164.81998758535073</v>
      </c>
      <c r="C71" s="8"/>
      <c r="D71" s="8"/>
      <c r="E71" s="8"/>
      <c r="F71" s="8"/>
      <c r="G71" s="7"/>
    </row>
    <row r="72" spans="1:7" ht="15.75" thickBot="1" x14ac:dyDescent="0.3">
      <c r="A72" s="12"/>
      <c r="B72" s="12"/>
      <c r="C72" s="12"/>
      <c r="D72" s="12"/>
      <c r="E72" s="12"/>
      <c r="F72" s="12"/>
    </row>
    <row r="73" spans="1:7" ht="15.75" thickTop="1" x14ac:dyDescent="0.25"/>
    <row r="74" spans="1:7" x14ac:dyDescent="0.25">
      <c r="A74" s="14" t="s">
        <v>61</v>
      </c>
    </row>
    <row r="75" spans="1:7" x14ac:dyDescent="0.25">
      <c r="A75" t="s">
        <v>112</v>
      </c>
    </row>
    <row r="76" spans="1:7" x14ac:dyDescent="0.25">
      <c r="A76" t="s">
        <v>114</v>
      </c>
      <c r="B76" s="13"/>
      <c r="C76" s="13"/>
      <c r="D76" s="13"/>
    </row>
    <row r="77" spans="1:7" x14ac:dyDescent="0.25">
      <c r="A77" t="s">
        <v>113</v>
      </c>
    </row>
    <row r="78" spans="1:7" x14ac:dyDescent="0.25">
      <c r="A78" t="s">
        <v>118</v>
      </c>
    </row>
    <row r="80" spans="1:7" x14ac:dyDescent="0.25">
      <c r="A80" t="s">
        <v>115</v>
      </c>
    </row>
    <row r="81" spans="1:1" x14ac:dyDescent="0.25">
      <c r="A81" s="25" t="s">
        <v>116</v>
      </c>
    </row>
    <row r="82" spans="1:1" x14ac:dyDescent="0.25">
      <c r="A82" s="25" t="s">
        <v>117</v>
      </c>
    </row>
    <row r="83" spans="1:1" x14ac:dyDescent="0.25">
      <c r="A83" s="25" t="s">
        <v>119</v>
      </c>
    </row>
    <row r="84" spans="1:1" x14ac:dyDescent="0.25">
      <c r="A84" s="25" t="s">
        <v>120</v>
      </c>
    </row>
    <row r="85" spans="1:1" x14ac:dyDescent="0.25">
      <c r="A85" s="27" t="s">
        <v>121</v>
      </c>
    </row>
  </sheetData>
  <mergeCells count="4">
    <mergeCell ref="A4:A5"/>
    <mergeCell ref="B4:B5"/>
    <mergeCell ref="C4:F4"/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5"/>
  <sheetViews>
    <sheetView topLeftCell="A91" workbookViewId="0">
      <selection activeCell="E79" sqref="E79"/>
    </sheetView>
  </sheetViews>
  <sheetFormatPr baseColWidth="10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6" ht="15.75" x14ac:dyDescent="0.25">
      <c r="A2" s="53" t="s">
        <v>62</v>
      </c>
      <c r="B2" s="53"/>
      <c r="C2" s="53"/>
      <c r="D2" s="53"/>
      <c r="E2" s="53"/>
      <c r="F2" s="53"/>
    </row>
    <row r="4" spans="1:6" x14ac:dyDescent="0.25">
      <c r="A4" s="48" t="s">
        <v>1</v>
      </c>
      <c r="B4" s="50" t="s">
        <v>2</v>
      </c>
      <c r="C4" s="52" t="s">
        <v>3</v>
      </c>
      <c r="D4" s="52"/>
      <c r="E4" s="52"/>
      <c r="F4" s="52"/>
    </row>
    <row r="5" spans="1:6" ht="15.75" thickBot="1" x14ac:dyDescent="0.3">
      <c r="A5" s="49"/>
      <c r="B5" s="51"/>
      <c r="C5" s="1" t="s">
        <v>4</v>
      </c>
      <c r="D5" s="1" t="s">
        <v>5</v>
      </c>
      <c r="E5" s="1" t="s">
        <v>6</v>
      </c>
      <c r="F5" s="1" t="s">
        <v>7</v>
      </c>
    </row>
    <row r="6" spans="1:6" ht="15.75" thickTop="1" x14ac:dyDescent="0.25"/>
    <row r="7" spans="1:6" x14ac:dyDescent="0.25">
      <c r="A7" s="2" t="s">
        <v>8</v>
      </c>
    </row>
    <row r="9" spans="1:6" x14ac:dyDescent="0.25">
      <c r="A9" t="s">
        <v>9</v>
      </c>
    </row>
    <row r="10" spans="1:6" x14ac:dyDescent="0.25">
      <c r="A10" s="3" t="s">
        <v>63</v>
      </c>
      <c r="B10" s="16">
        <f>SUM(C10:F10)</f>
        <v>704</v>
      </c>
      <c r="C10" s="16">
        <v>526</v>
      </c>
      <c r="D10" s="16">
        <v>37</v>
      </c>
      <c r="E10" s="16">
        <v>141</v>
      </c>
      <c r="F10" s="18">
        <v>0</v>
      </c>
    </row>
    <row r="11" spans="1:6" x14ac:dyDescent="0.25">
      <c r="A11" s="3" t="s">
        <v>64</v>
      </c>
      <c r="B11" s="16">
        <f>SUM(C11:F11)</f>
        <v>1666</v>
      </c>
      <c r="C11" s="16">
        <f>410+410+400</f>
        <v>1220</v>
      </c>
      <c r="D11" s="16">
        <f>74+74+75</f>
        <v>223</v>
      </c>
      <c r="E11" s="16">
        <f>74+74+75</f>
        <v>223</v>
      </c>
      <c r="F11" s="18">
        <v>0</v>
      </c>
    </row>
    <row r="12" spans="1:6" x14ac:dyDescent="0.25">
      <c r="A12" s="3" t="s">
        <v>65</v>
      </c>
      <c r="B12" s="16">
        <f>SUM(C12:F12)</f>
        <v>1729</v>
      </c>
      <c r="C12" s="16">
        <v>1394</v>
      </c>
      <c r="D12" s="16">
        <v>109</v>
      </c>
      <c r="E12" s="16">
        <v>224</v>
      </c>
      <c r="F12" s="16">
        <v>2</v>
      </c>
    </row>
    <row r="13" spans="1:6" x14ac:dyDescent="0.25">
      <c r="A13" s="20" t="s">
        <v>110</v>
      </c>
      <c r="B13" s="16">
        <f>SUM(C13:F13)</f>
        <v>5851</v>
      </c>
      <c r="C13" s="16">
        <v>4801</v>
      </c>
      <c r="D13" s="16">
        <v>379</v>
      </c>
      <c r="E13" s="16">
        <v>540</v>
      </c>
      <c r="F13" s="16">
        <v>131</v>
      </c>
    </row>
    <row r="14" spans="1:6" x14ac:dyDescent="0.25">
      <c r="A14" s="3" t="s">
        <v>13</v>
      </c>
      <c r="B14" s="16">
        <f>SUM(C14:F14)</f>
        <v>5212</v>
      </c>
      <c r="C14" s="16">
        <v>2659</v>
      </c>
      <c r="D14" s="16">
        <v>495</v>
      </c>
      <c r="E14" s="16">
        <v>495</v>
      </c>
      <c r="F14" s="16">
        <v>1563</v>
      </c>
    </row>
    <row r="15" spans="1:6" x14ac:dyDescent="0.25">
      <c r="B15" s="18"/>
    </row>
    <row r="16" spans="1:6" x14ac:dyDescent="0.25">
      <c r="A16" s="5" t="s">
        <v>14</v>
      </c>
      <c r="B16" s="18"/>
    </row>
    <row r="17" spans="1:7" x14ac:dyDescent="0.25">
      <c r="A17" s="3" t="s">
        <v>66</v>
      </c>
      <c r="B17" s="16">
        <f>SUM(C17:F17)</f>
        <v>586642500</v>
      </c>
      <c r="C17" s="16">
        <v>453330000</v>
      </c>
      <c r="D17" s="16">
        <v>55282500</v>
      </c>
      <c r="E17" s="16">
        <v>78030000</v>
      </c>
      <c r="F17" s="22">
        <v>0</v>
      </c>
    </row>
    <row r="18" spans="1:7" x14ac:dyDescent="0.25">
      <c r="A18" s="3" t="s">
        <v>64</v>
      </c>
      <c r="B18" s="16">
        <f>SUM(C18:F18)</f>
        <v>769600000</v>
      </c>
      <c r="C18" s="23">
        <f>171200000+195200000+195200000</f>
        <v>561600000</v>
      </c>
      <c r="D18" s="16">
        <f>(32800+35520+35680)*1000</f>
        <v>104000000</v>
      </c>
      <c r="E18" s="16">
        <f>32800000+35520000+35680000</f>
        <v>104000000</v>
      </c>
      <c r="F18" s="22">
        <v>0</v>
      </c>
    </row>
    <row r="19" spans="1:7" x14ac:dyDescent="0.25">
      <c r="A19" s="3" t="s">
        <v>65</v>
      </c>
      <c r="B19" s="16">
        <f>SUM(C19:F19)</f>
        <v>923200000</v>
      </c>
      <c r="C19" s="16">
        <v>768160000</v>
      </c>
      <c r="D19" s="24">
        <v>55040000</v>
      </c>
      <c r="E19" s="24">
        <v>79040000</v>
      </c>
      <c r="F19" s="22">
        <v>20960000</v>
      </c>
    </row>
    <row r="20" spans="1:7" x14ac:dyDescent="0.25">
      <c r="A20" s="3" t="s">
        <v>13</v>
      </c>
      <c r="B20" s="16">
        <f>SUM(C20:F20)</f>
        <v>1999960000</v>
      </c>
      <c r="C20" s="16">
        <v>1275160000</v>
      </c>
      <c r="D20" s="16">
        <v>237440000</v>
      </c>
      <c r="E20" s="16">
        <v>237440000</v>
      </c>
      <c r="F20" s="16">
        <v>249920000</v>
      </c>
    </row>
    <row r="21" spans="1:7" x14ac:dyDescent="0.25">
      <c r="A21" s="3" t="s">
        <v>67</v>
      </c>
      <c r="B21" s="16">
        <f>SUM(C21:F21)</f>
        <v>923200000</v>
      </c>
      <c r="C21" s="16">
        <f>C19</f>
        <v>768160000</v>
      </c>
      <c r="D21" s="16">
        <f>D19</f>
        <v>55040000</v>
      </c>
      <c r="E21" s="16">
        <f>E19</f>
        <v>79040000</v>
      </c>
      <c r="F21" s="16">
        <f>F19</f>
        <v>20960000</v>
      </c>
    </row>
    <row r="22" spans="1:7" x14ac:dyDescent="0.25">
      <c r="B22" s="16"/>
      <c r="C22" s="4"/>
      <c r="D22" s="4"/>
      <c r="E22" s="4"/>
      <c r="F22" s="15"/>
    </row>
    <row r="23" spans="1:7" x14ac:dyDescent="0.25">
      <c r="A23" t="s">
        <v>16</v>
      </c>
      <c r="B23" s="16"/>
      <c r="C23" s="16"/>
      <c r="D23" s="16"/>
      <c r="E23" s="16"/>
      <c r="F23" s="17"/>
    </row>
    <row r="24" spans="1:7" x14ac:dyDescent="0.25">
      <c r="A24" s="6" t="s">
        <v>64</v>
      </c>
      <c r="B24" s="16">
        <f>B18</f>
        <v>769600000</v>
      </c>
      <c r="C24" s="16">
        <f>C18</f>
        <v>561600000</v>
      </c>
      <c r="D24" s="16">
        <f>D18</f>
        <v>104000000</v>
      </c>
      <c r="E24" s="16">
        <f>E18</f>
        <v>104000000</v>
      </c>
      <c r="F24" s="16">
        <f>F18</f>
        <v>0</v>
      </c>
      <c r="G24" s="7"/>
    </row>
    <row r="25" spans="1:7" x14ac:dyDescent="0.25">
      <c r="A25" s="6" t="s">
        <v>65</v>
      </c>
      <c r="B25" s="16">
        <v>623800000</v>
      </c>
      <c r="C25" s="16"/>
      <c r="D25" s="16"/>
      <c r="E25" s="16"/>
      <c r="F25" s="17"/>
      <c r="G25" s="7"/>
    </row>
    <row r="26" spans="1:7" x14ac:dyDescent="0.25">
      <c r="B26" s="18"/>
      <c r="C26" s="18"/>
      <c r="D26" s="18"/>
      <c r="E26" s="18"/>
      <c r="F26" s="18"/>
    </row>
    <row r="27" spans="1:7" x14ac:dyDescent="0.25">
      <c r="A27" t="s">
        <v>17</v>
      </c>
      <c r="B27" s="18"/>
      <c r="C27" s="18"/>
      <c r="D27" s="18"/>
      <c r="E27" s="18"/>
      <c r="F27" s="18"/>
    </row>
    <row r="28" spans="1:7" x14ac:dyDescent="0.25">
      <c r="A28" t="s">
        <v>68</v>
      </c>
      <c r="B28" s="19">
        <v>1.4042433660666667</v>
      </c>
      <c r="C28" s="19">
        <v>1.4042433660666667</v>
      </c>
      <c r="D28" s="19">
        <v>1.4042433660666667</v>
      </c>
      <c r="E28" s="19">
        <v>1.4042433660666667</v>
      </c>
      <c r="F28" s="19">
        <v>1.4042433660666667</v>
      </c>
    </row>
    <row r="29" spans="1:7" x14ac:dyDescent="0.25">
      <c r="A29" t="s">
        <v>69</v>
      </c>
      <c r="B29" s="15">
        <v>1.4773597119666666</v>
      </c>
      <c r="C29" s="15">
        <v>1.4773597119666666</v>
      </c>
      <c r="D29" s="15">
        <v>1.4773597119666666</v>
      </c>
      <c r="E29" s="15">
        <v>1.4773597119666666</v>
      </c>
      <c r="F29" s="15">
        <v>1.4773597119666666</v>
      </c>
    </row>
    <row r="30" spans="1:7" x14ac:dyDescent="0.25">
      <c r="A30" t="s">
        <v>20</v>
      </c>
      <c r="B30" s="4">
        <v>69704</v>
      </c>
      <c r="C30" s="4">
        <v>69704</v>
      </c>
      <c r="D30" s="4">
        <v>69704</v>
      </c>
      <c r="E30" s="4">
        <v>69704</v>
      </c>
      <c r="F30" s="4">
        <v>69704</v>
      </c>
    </row>
    <row r="31" spans="1:7" x14ac:dyDescent="0.25">
      <c r="B31" s="18"/>
      <c r="C31" s="18"/>
      <c r="D31" s="18"/>
      <c r="E31" s="18"/>
      <c r="F31" s="18"/>
    </row>
    <row r="32" spans="1:7" x14ac:dyDescent="0.25">
      <c r="A32" t="s">
        <v>21</v>
      </c>
      <c r="B32" s="18"/>
      <c r="C32" s="18"/>
      <c r="D32" s="18"/>
      <c r="E32" s="18"/>
      <c r="F32" s="18"/>
    </row>
    <row r="33" spans="1:6" x14ac:dyDescent="0.25">
      <c r="A33" t="s">
        <v>70</v>
      </c>
      <c r="B33" s="16">
        <f>B17/B28</f>
        <v>417764124.20818877</v>
      </c>
      <c r="C33" s="16">
        <f>C17/C28</f>
        <v>322828657.02245951</v>
      </c>
      <c r="D33" s="16">
        <f>D17/D28</f>
        <v>39368176.012715057</v>
      </c>
      <c r="E33" s="16">
        <f>E17/E28</f>
        <v>55567291.173014179</v>
      </c>
      <c r="F33" s="16">
        <f>F17/F28</f>
        <v>0</v>
      </c>
    </row>
    <row r="34" spans="1:6" x14ac:dyDescent="0.25">
      <c r="A34" t="s">
        <v>71</v>
      </c>
      <c r="B34" s="16">
        <f>B19/B29</f>
        <v>624898589.3699733</v>
      </c>
      <c r="C34" s="16">
        <f>C19/C29</f>
        <v>519954614.82933134</v>
      </c>
      <c r="D34" s="16">
        <f>D19/D29</f>
        <v>37255652.468504474</v>
      </c>
      <c r="E34" s="16">
        <f>E19/E29</f>
        <v>53500849.765817471</v>
      </c>
      <c r="F34" s="16">
        <f>F19/F29</f>
        <v>14187472.306320017</v>
      </c>
    </row>
    <row r="35" spans="1:6" x14ac:dyDescent="0.25">
      <c r="A35" t="s">
        <v>72</v>
      </c>
      <c r="B35" s="16">
        <f>B33/B10</f>
        <v>593414.94915935909</v>
      </c>
      <c r="C35" s="16">
        <f>C33/C10</f>
        <v>613742.69395904848</v>
      </c>
      <c r="D35" s="16">
        <f>D33/D10</f>
        <v>1064004.757100407</v>
      </c>
      <c r="E35" s="16">
        <f>E33/E10</f>
        <v>394094.26363839844</v>
      </c>
      <c r="F35" s="16" t="e">
        <f>F33/F10</f>
        <v>#DIV/0!</v>
      </c>
    </row>
    <row r="36" spans="1:6" x14ac:dyDescent="0.25">
      <c r="A36" t="s">
        <v>73</v>
      </c>
      <c r="B36" s="16">
        <f>B34/B12</f>
        <v>361421.9718739001</v>
      </c>
      <c r="C36" s="16">
        <f>C34/C12</f>
        <v>372994.70217312145</v>
      </c>
      <c r="D36" s="16">
        <f>D34/D12</f>
        <v>341794.97677527042</v>
      </c>
      <c r="E36" s="16">
        <f>E34/E12</f>
        <v>238843.07931168514</v>
      </c>
      <c r="F36" s="16">
        <f>F34/F12</f>
        <v>7093736.1531600086</v>
      </c>
    </row>
    <row r="38" spans="1:6" x14ac:dyDescent="0.25">
      <c r="A38" s="2" t="s">
        <v>26</v>
      </c>
    </row>
    <row r="40" spans="1:6" x14ac:dyDescent="0.25">
      <c r="A40" t="s">
        <v>27</v>
      </c>
    </row>
    <row r="41" spans="1:6" x14ac:dyDescent="0.25">
      <c r="A41" t="s">
        <v>28</v>
      </c>
      <c r="B41" s="9">
        <f>B11/B30*100</f>
        <v>2.3901067370595666</v>
      </c>
      <c r="C41" s="9">
        <f>C11/C30*100</f>
        <v>1.750258234821531</v>
      </c>
      <c r="D41" s="9">
        <f>D11/D30*100</f>
        <v>0.31992425111901757</v>
      </c>
      <c r="E41" s="9">
        <f>E11/E30*100</f>
        <v>0.31992425111901757</v>
      </c>
      <c r="F41" s="9">
        <f>F11/F30*100</f>
        <v>0</v>
      </c>
    </row>
    <row r="42" spans="1:6" x14ac:dyDescent="0.25">
      <c r="A42" t="s">
        <v>29</v>
      </c>
      <c r="B42" s="9">
        <f>B12/B30*100</f>
        <v>2.480488924595432</v>
      </c>
      <c r="C42" s="9">
        <f>C12/C30*100</f>
        <v>1.9998852289682085</v>
      </c>
      <c r="D42" s="9">
        <f>D12/D30*100</f>
        <v>0.15637553081602204</v>
      </c>
      <c r="E42" s="9">
        <f>E12/E30*100</f>
        <v>0.32135888901641224</v>
      </c>
      <c r="F42" s="9">
        <f>F12/F30*100</f>
        <v>2.869275794789395E-3</v>
      </c>
    </row>
    <row r="44" spans="1:6" x14ac:dyDescent="0.25">
      <c r="A44" t="s">
        <v>30</v>
      </c>
    </row>
    <row r="45" spans="1:6" x14ac:dyDescent="0.25">
      <c r="A45" t="s">
        <v>31</v>
      </c>
      <c r="B45" s="9">
        <f>B12/B11*100</f>
        <v>103.78151260504202</v>
      </c>
      <c r="C45" s="9">
        <f>C12/C11*100</f>
        <v>114.26229508196721</v>
      </c>
      <c r="D45" s="9">
        <f>D12/D11*100</f>
        <v>48.878923766816143</v>
      </c>
      <c r="E45" s="9">
        <f>E12/E11*100</f>
        <v>100.44843049327355</v>
      </c>
      <c r="F45" s="9" t="e">
        <f>F12/F11*100</f>
        <v>#DIV/0!</v>
      </c>
    </row>
    <row r="46" spans="1:6" x14ac:dyDescent="0.25">
      <c r="A46" t="s">
        <v>32</v>
      </c>
      <c r="B46" s="9">
        <f>B19/B18*100</f>
        <v>119.95841995841997</v>
      </c>
      <c r="C46" s="9">
        <f>C19/C18*100</f>
        <v>136.78062678062679</v>
      </c>
      <c r="D46" s="9">
        <f>D19/D18*100</f>
        <v>52.923076923076927</v>
      </c>
      <c r="E46" s="9">
        <f>E19/E18*100</f>
        <v>76</v>
      </c>
      <c r="F46" s="9" t="e">
        <f>F19/F18*100</f>
        <v>#DIV/0!</v>
      </c>
    </row>
    <row r="47" spans="1:6" x14ac:dyDescent="0.25">
      <c r="A47" t="s">
        <v>33</v>
      </c>
      <c r="B47" s="11">
        <f>AVERAGE(B45:B46)</f>
        <v>111.869966281731</v>
      </c>
      <c r="C47" s="11">
        <f>AVERAGE(C45:C46)</f>
        <v>125.521460931297</v>
      </c>
      <c r="D47" s="11">
        <f>AVERAGE(D45:D46)</f>
        <v>50.901000344946539</v>
      </c>
      <c r="E47" s="11">
        <f>AVERAGE(E45:E46)</f>
        <v>88.224215246636774</v>
      </c>
      <c r="F47" s="11" t="e">
        <f>AVERAGE(F45:F46)</f>
        <v>#DIV/0!</v>
      </c>
    </row>
    <row r="48" spans="1:6" x14ac:dyDescent="0.25">
      <c r="B48" s="11"/>
      <c r="C48" s="11"/>
      <c r="D48" s="11"/>
      <c r="E48" s="11"/>
    </row>
    <row r="49" spans="1:6" x14ac:dyDescent="0.25">
      <c r="A49" t="s">
        <v>34</v>
      </c>
      <c r="B49" s="18"/>
      <c r="C49" s="18"/>
      <c r="D49" s="18"/>
      <c r="E49" s="18"/>
    </row>
    <row r="50" spans="1:6" x14ac:dyDescent="0.25">
      <c r="A50" t="s">
        <v>35</v>
      </c>
      <c r="B50" s="11">
        <f>B12/B14*100</f>
        <v>33.173445894090555</v>
      </c>
      <c r="C50" s="11">
        <f>C12/C14*100</f>
        <v>52.425723956374583</v>
      </c>
      <c r="D50" s="11">
        <f>D12/D14*100</f>
        <v>22.020202020202021</v>
      </c>
      <c r="E50" s="11">
        <f>E12/E14*100</f>
        <v>45.252525252525253</v>
      </c>
      <c r="F50" s="11">
        <f>F12/F14*100</f>
        <v>0.12795905310300704</v>
      </c>
    </row>
    <row r="51" spans="1:6" x14ac:dyDescent="0.25">
      <c r="A51" t="s">
        <v>36</v>
      </c>
      <c r="B51" s="11">
        <f>B19/B20*100</f>
        <v>46.160923218464369</v>
      </c>
      <c r="C51" s="11">
        <f>C19/C20*100</f>
        <v>60.240283572257603</v>
      </c>
      <c r="D51" s="11">
        <f>D19/D20*100</f>
        <v>23.180592991913745</v>
      </c>
      <c r="E51" s="11">
        <f>E19/E20*100</f>
        <v>33.288409703504044</v>
      </c>
      <c r="F51" s="11">
        <f>F19/F20*100</f>
        <v>8.3866837387964139</v>
      </c>
    </row>
    <row r="52" spans="1:6" x14ac:dyDescent="0.25">
      <c r="A52" t="s">
        <v>37</v>
      </c>
      <c r="B52" s="11">
        <f>(B50+B51)/2</f>
        <v>39.667184556277462</v>
      </c>
      <c r="C52" s="11">
        <f>(C50+C51)/2</f>
        <v>56.333003764316089</v>
      </c>
      <c r="D52" s="11">
        <f>(D50+D51)/2</f>
        <v>22.600397506057881</v>
      </c>
      <c r="E52" s="11">
        <f>(E50+E51)/2</f>
        <v>39.270467478014652</v>
      </c>
      <c r="F52" s="11">
        <f>(F50+F51)/2</f>
        <v>4.2573213959497105</v>
      </c>
    </row>
    <row r="53" spans="1:6" x14ac:dyDescent="0.25">
      <c r="B53" s="18"/>
      <c r="C53" s="18"/>
      <c r="D53" s="18"/>
      <c r="E53" s="18"/>
    </row>
    <row r="54" spans="1:6" x14ac:dyDescent="0.25">
      <c r="A54" t="s">
        <v>38</v>
      </c>
      <c r="B54" s="11">
        <f>B21/B19*100</f>
        <v>100</v>
      </c>
      <c r="C54" s="11">
        <f>C21/C19*100</f>
        <v>100</v>
      </c>
      <c r="D54" s="11">
        <f>D21/D19*100</f>
        <v>100</v>
      </c>
      <c r="E54" s="11">
        <f>E21/E19*100</f>
        <v>100</v>
      </c>
      <c r="F54" s="11">
        <f>F21/F19*100</f>
        <v>100</v>
      </c>
    </row>
    <row r="55" spans="1:6" x14ac:dyDescent="0.25">
      <c r="B55" s="18"/>
      <c r="C55" s="18"/>
      <c r="D55" s="18"/>
      <c r="E55" s="18"/>
    </row>
    <row r="56" spans="1:6" x14ac:dyDescent="0.25">
      <c r="A56" t="s">
        <v>39</v>
      </c>
      <c r="B56" s="18"/>
      <c r="C56" s="18"/>
      <c r="D56" s="18"/>
      <c r="E56" s="18"/>
    </row>
    <row r="57" spans="1:6" x14ac:dyDescent="0.25">
      <c r="A57" t="s">
        <v>40</v>
      </c>
      <c r="B57" s="11">
        <f>((B12/B10)-1)*100</f>
        <v>145.59659090909091</v>
      </c>
      <c r="C57" s="11">
        <f>((C12/C10)-1)*100</f>
        <v>165.01901140684413</v>
      </c>
      <c r="D57" s="11">
        <f>((D12/D10)-1)*100</f>
        <v>194.59459459459461</v>
      </c>
      <c r="E57" s="11">
        <f>((E12/E10)-1)*100</f>
        <v>58.865248226950364</v>
      </c>
      <c r="F57" s="11" t="e">
        <f>((F12/F10)-1)*100</f>
        <v>#DIV/0!</v>
      </c>
    </row>
    <row r="58" spans="1:6" x14ac:dyDescent="0.25">
      <c r="A58" t="s">
        <v>42</v>
      </c>
      <c r="B58" s="11">
        <f>((B34/B33)-1)*100</f>
        <v>49.581678549918038</v>
      </c>
      <c r="C58" s="11">
        <f>((C34/C33)-1)*100</f>
        <v>61.062100132318051</v>
      </c>
      <c r="D58" s="11">
        <f>((D34/D33)-1)*100</f>
        <v>-5.3660691405369771</v>
      </c>
      <c r="E58" s="11">
        <f>((E34/E33)-1)*100</f>
        <v>-3.7188089676040592</v>
      </c>
      <c r="F58" s="11" t="e">
        <f>((F34/F33)-1)*100</f>
        <v>#DIV/0!</v>
      </c>
    </row>
    <row r="59" spans="1:6" x14ac:dyDescent="0.25">
      <c r="A59" t="s">
        <v>43</v>
      </c>
      <c r="B59" s="11">
        <f>((B36/B35)-1)*100</f>
        <v>-39.094562348674209</v>
      </c>
      <c r="C59" s="11">
        <f>((C36/C35)-1)*100</f>
        <v>-39.226208988809695</v>
      </c>
      <c r="D59" s="11">
        <f>((D36/D35)-1)*100</f>
        <v>-67.876555579815317</v>
      </c>
      <c r="E59" s="11">
        <f>((E36/E35)-1)*100</f>
        <v>-39.394428859072192</v>
      </c>
      <c r="F59" s="11" t="e">
        <f>((F36/F35)-1)*100</f>
        <v>#DIV/0!</v>
      </c>
    </row>
    <row r="60" spans="1:6" x14ac:dyDescent="0.25">
      <c r="B60" s="11"/>
      <c r="C60" s="11"/>
      <c r="D60" s="11"/>
      <c r="E60" s="11"/>
    </row>
    <row r="61" spans="1:6" x14ac:dyDescent="0.25">
      <c r="A61" t="s">
        <v>44</v>
      </c>
      <c r="B61" s="18"/>
      <c r="C61" s="18"/>
      <c r="D61" s="18"/>
      <c r="E61" s="18"/>
    </row>
    <row r="62" spans="1:6" x14ac:dyDescent="0.25">
      <c r="A62" t="s">
        <v>124</v>
      </c>
      <c r="B62" s="16">
        <f t="shared" ref="B62:F63" si="0">B18/(B11*3)</f>
        <v>153981.59263705483</v>
      </c>
      <c r="C62" s="16">
        <f t="shared" si="0"/>
        <v>153442.62295081967</v>
      </c>
      <c r="D62" s="16">
        <f t="shared" si="0"/>
        <v>155455.90433482811</v>
      </c>
      <c r="E62" s="16">
        <f t="shared" si="0"/>
        <v>155455.90433482811</v>
      </c>
      <c r="F62" s="16" t="e">
        <f t="shared" si="0"/>
        <v>#DIV/0!</v>
      </c>
    </row>
    <row r="63" spans="1:6" x14ac:dyDescent="0.25">
      <c r="A63" s="18" t="s">
        <v>125</v>
      </c>
      <c r="B63" s="16">
        <f t="shared" si="0"/>
        <v>177983.42008868326</v>
      </c>
      <c r="C63" s="16">
        <f t="shared" si="0"/>
        <v>183682.44858919177</v>
      </c>
      <c r="D63" s="16">
        <f t="shared" si="0"/>
        <v>168318.04281345566</v>
      </c>
      <c r="E63" s="16">
        <f t="shared" si="0"/>
        <v>117619.04761904762</v>
      </c>
      <c r="F63" s="16">
        <f t="shared" si="0"/>
        <v>3493333.3333333335</v>
      </c>
    </row>
    <row r="64" spans="1:6" x14ac:dyDescent="0.25">
      <c r="A64" s="18" t="s">
        <v>111</v>
      </c>
      <c r="B64" s="16">
        <f>B19/B13</f>
        <v>157784.99401811656</v>
      </c>
      <c r="C64" s="16">
        <f>C19/C13</f>
        <v>160000</v>
      </c>
      <c r="D64" s="16">
        <f>D19/D13</f>
        <v>145224.27440633246</v>
      </c>
      <c r="E64" s="16">
        <f>E19/E13</f>
        <v>146370.37037037036</v>
      </c>
      <c r="F64" s="16">
        <f>F19/F13</f>
        <v>160000</v>
      </c>
    </row>
    <row r="65" spans="1:7" x14ac:dyDescent="0.25">
      <c r="A65" t="s">
        <v>45</v>
      </c>
      <c r="B65" s="11">
        <f>(B62/B63)*B47</f>
        <v>96.783821592659905</v>
      </c>
      <c r="C65" s="11">
        <f>(C62/C63)*C47</f>
        <v>104.85673699283625</v>
      </c>
      <c r="D65" s="11">
        <f>(D62/D63)*D47</f>
        <v>47.011365554795375</v>
      </c>
      <c r="E65" s="11">
        <f>(E62/E63)*E47</f>
        <v>116.60505201349208</v>
      </c>
      <c r="F65" s="11" t="e">
        <f>(F62/F63)*F47</f>
        <v>#DIV/0!</v>
      </c>
    </row>
    <row r="66" spans="1:7" x14ac:dyDescent="0.25">
      <c r="A66" t="s">
        <v>126</v>
      </c>
      <c r="B66" s="16">
        <f t="shared" ref="B66:F67" si="1">B18/B11</f>
        <v>461944.77791116445</v>
      </c>
      <c r="C66" s="16">
        <f t="shared" si="1"/>
        <v>460327.86885245901</v>
      </c>
      <c r="D66" s="16">
        <f t="shared" si="1"/>
        <v>466367.71300448431</v>
      </c>
      <c r="E66" s="16">
        <f t="shared" si="1"/>
        <v>466367.71300448431</v>
      </c>
      <c r="F66" s="16" t="e">
        <f t="shared" si="1"/>
        <v>#DIV/0!</v>
      </c>
    </row>
    <row r="67" spans="1:7" x14ac:dyDescent="0.25">
      <c r="A67" t="s">
        <v>127</v>
      </c>
      <c r="B67" s="16">
        <f t="shared" si="1"/>
        <v>533950.26026604977</v>
      </c>
      <c r="C67" s="16">
        <f t="shared" si="1"/>
        <v>551047.34576757532</v>
      </c>
      <c r="D67" s="16">
        <f t="shared" si="1"/>
        <v>504954.128440367</v>
      </c>
      <c r="E67" s="16">
        <f t="shared" si="1"/>
        <v>352857.14285714284</v>
      </c>
      <c r="F67" s="16">
        <f t="shared" si="1"/>
        <v>10480000</v>
      </c>
    </row>
    <row r="68" spans="1:7" x14ac:dyDescent="0.25">
      <c r="B68" s="11"/>
      <c r="C68" s="11"/>
      <c r="D68" s="11"/>
      <c r="E68" s="11"/>
    </row>
    <row r="69" spans="1:7" x14ac:dyDescent="0.25">
      <c r="A69" t="s">
        <v>46</v>
      </c>
      <c r="B69" s="11"/>
      <c r="C69" s="11"/>
      <c r="D69" s="11"/>
      <c r="E69" s="11"/>
    </row>
    <row r="70" spans="1:7" x14ac:dyDescent="0.25">
      <c r="A70" t="s">
        <v>47</v>
      </c>
      <c r="B70" s="11">
        <f>(B25/B24)*100</f>
        <v>81.055093555093563</v>
      </c>
      <c r="C70" s="11"/>
      <c r="D70" s="11"/>
      <c r="E70" s="11"/>
      <c r="G70" s="7"/>
    </row>
    <row r="71" spans="1:7" x14ac:dyDescent="0.25">
      <c r="A71" t="s">
        <v>48</v>
      </c>
      <c r="B71" s="11">
        <f>(B19/B25)*100</f>
        <v>147.99615261301699</v>
      </c>
      <c r="C71" s="11"/>
      <c r="D71" s="11"/>
      <c r="E71" s="11"/>
      <c r="G71" s="7"/>
    </row>
    <row r="72" spans="1:7" ht="15.75" thickBot="1" x14ac:dyDescent="0.3">
      <c r="A72" s="12"/>
      <c r="B72" s="12"/>
      <c r="C72" s="12"/>
      <c r="D72" s="12"/>
      <c r="E72" s="12"/>
      <c r="F72" s="12"/>
    </row>
    <row r="73" spans="1:7" ht="15.75" thickTop="1" x14ac:dyDescent="0.25"/>
    <row r="74" spans="1:7" x14ac:dyDescent="0.25">
      <c r="A74" s="14" t="s">
        <v>61</v>
      </c>
    </row>
    <row r="75" spans="1:7" x14ac:dyDescent="0.25">
      <c r="A75" t="s">
        <v>112</v>
      </c>
    </row>
    <row r="76" spans="1:7" x14ac:dyDescent="0.25">
      <c r="A76" t="s">
        <v>114</v>
      </c>
      <c r="B76" s="13"/>
      <c r="C76" s="13"/>
      <c r="D76" s="13"/>
    </row>
    <row r="77" spans="1:7" x14ac:dyDescent="0.25">
      <c r="A77" t="s">
        <v>113</v>
      </c>
    </row>
    <row r="78" spans="1:7" x14ac:dyDescent="0.25">
      <c r="A78" t="s">
        <v>118</v>
      </c>
    </row>
    <row r="80" spans="1:7" x14ac:dyDescent="0.25">
      <c r="A80" t="s">
        <v>115</v>
      </c>
    </row>
    <row r="81" spans="1:1" x14ac:dyDescent="0.25">
      <c r="A81" s="25" t="s">
        <v>116</v>
      </c>
    </row>
    <row r="82" spans="1:1" x14ac:dyDescent="0.25">
      <c r="A82" s="25" t="s">
        <v>117</v>
      </c>
    </row>
    <row r="83" spans="1:1" x14ac:dyDescent="0.25">
      <c r="A83" s="25" t="s">
        <v>119</v>
      </c>
    </row>
    <row r="84" spans="1:1" x14ac:dyDescent="0.25">
      <c r="A84" s="25" t="s">
        <v>120</v>
      </c>
    </row>
    <row r="85" spans="1:1" x14ac:dyDescent="0.25">
      <c r="A85" s="27" t="s">
        <v>121</v>
      </c>
    </row>
  </sheetData>
  <mergeCells count="4">
    <mergeCell ref="A4:A5"/>
    <mergeCell ref="B4:B5"/>
    <mergeCell ref="C4:F4"/>
    <mergeCell ref="A2:F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85"/>
  <sheetViews>
    <sheetView topLeftCell="A82" workbookViewId="0">
      <selection activeCell="D77" sqref="D77"/>
    </sheetView>
  </sheetViews>
  <sheetFormatPr baseColWidth="10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6" ht="15.75" x14ac:dyDescent="0.25">
      <c r="A2" s="53" t="s">
        <v>74</v>
      </c>
      <c r="B2" s="53"/>
      <c r="C2" s="53"/>
      <c r="D2" s="53"/>
      <c r="E2" s="53"/>
      <c r="F2" s="53"/>
    </row>
    <row r="4" spans="1:6" x14ac:dyDescent="0.25">
      <c r="A4" s="48" t="s">
        <v>1</v>
      </c>
      <c r="B4" s="50" t="s">
        <v>2</v>
      </c>
      <c r="C4" s="52" t="s">
        <v>3</v>
      </c>
      <c r="D4" s="52"/>
      <c r="E4" s="52"/>
      <c r="F4" s="52"/>
    </row>
    <row r="5" spans="1:6" ht="15.75" thickBot="1" x14ac:dyDescent="0.3">
      <c r="A5" s="49"/>
      <c r="B5" s="51"/>
      <c r="C5" s="1" t="s">
        <v>4</v>
      </c>
      <c r="D5" s="1" t="s">
        <v>5</v>
      </c>
      <c r="E5" s="1" t="s">
        <v>6</v>
      </c>
      <c r="F5" s="1" t="s">
        <v>7</v>
      </c>
    </row>
    <row r="6" spans="1:6" ht="15.75" thickTop="1" x14ac:dyDescent="0.25"/>
    <row r="7" spans="1:6" x14ac:dyDescent="0.25">
      <c r="A7" s="2" t="s">
        <v>8</v>
      </c>
    </row>
    <row r="9" spans="1:6" x14ac:dyDescent="0.25">
      <c r="A9" t="s">
        <v>9</v>
      </c>
    </row>
    <row r="10" spans="1:6" x14ac:dyDescent="0.25">
      <c r="A10" s="3" t="s">
        <v>75</v>
      </c>
      <c r="B10" s="16">
        <f>SUM(C10:F10)</f>
        <v>62</v>
      </c>
      <c r="C10" s="16">
        <v>14</v>
      </c>
      <c r="D10" s="16">
        <v>48</v>
      </c>
      <c r="E10" s="16">
        <v>0</v>
      </c>
      <c r="F10" s="16">
        <v>0</v>
      </c>
    </row>
    <row r="11" spans="1:6" x14ac:dyDescent="0.25">
      <c r="A11" s="3" t="s">
        <v>76</v>
      </c>
      <c r="B11" s="16">
        <f>SUM(C11:F11)</f>
        <v>536</v>
      </c>
      <c r="C11" s="16">
        <f>400+4</f>
        <v>404</v>
      </c>
      <c r="D11" s="16">
        <f>65+1</f>
        <v>66</v>
      </c>
      <c r="E11" s="16">
        <f>65+1</f>
        <v>66</v>
      </c>
      <c r="F11" s="16">
        <v>0</v>
      </c>
    </row>
    <row r="12" spans="1:6" x14ac:dyDescent="0.25">
      <c r="A12" s="3" t="s">
        <v>77</v>
      </c>
      <c r="B12" s="16">
        <f>SUM(C12:F12)</f>
        <v>773</v>
      </c>
      <c r="C12" s="16">
        <v>633</v>
      </c>
      <c r="D12" s="16">
        <v>17</v>
      </c>
      <c r="E12" s="16">
        <v>117</v>
      </c>
      <c r="F12" s="16">
        <v>6</v>
      </c>
    </row>
    <row r="13" spans="1:6" x14ac:dyDescent="0.25">
      <c r="A13" s="20" t="s">
        <v>110</v>
      </c>
      <c r="B13" s="16">
        <f>SUM(C13:F13)</f>
        <v>2995</v>
      </c>
      <c r="C13" s="16">
        <v>2446</v>
      </c>
      <c r="D13" s="16">
        <v>192</v>
      </c>
      <c r="E13" s="16">
        <v>343</v>
      </c>
      <c r="F13" s="16">
        <v>14</v>
      </c>
    </row>
    <row r="14" spans="1:6" x14ac:dyDescent="0.25">
      <c r="A14" s="3" t="s">
        <v>13</v>
      </c>
      <c r="B14" s="16">
        <f>SUM(C14:F14)</f>
        <v>5212</v>
      </c>
      <c r="C14" s="16">
        <v>2659</v>
      </c>
      <c r="D14" s="16">
        <v>495</v>
      </c>
      <c r="E14" s="16">
        <v>495</v>
      </c>
      <c r="F14" s="16">
        <v>1563</v>
      </c>
    </row>
    <row r="15" spans="1:6" x14ac:dyDescent="0.25">
      <c r="B15" s="18"/>
    </row>
    <row r="16" spans="1:6" x14ac:dyDescent="0.25">
      <c r="A16" s="5" t="s">
        <v>14</v>
      </c>
      <c r="B16" s="18"/>
    </row>
    <row r="17" spans="1:7" x14ac:dyDescent="0.25">
      <c r="A17" s="3" t="s">
        <v>75</v>
      </c>
      <c r="B17" s="16">
        <f>SUM(C17:F17)</f>
        <v>44043750</v>
      </c>
      <c r="C17" s="16">
        <v>24435000</v>
      </c>
      <c r="D17" s="16">
        <v>17550000</v>
      </c>
      <c r="E17" s="16">
        <v>2058750</v>
      </c>
      <c r="F17" s="22">
        <v>0</v>
      </c>
    </row>
    <row r="18" spans="1:7" x14ac:dyDescent="0.25">
      <c r="A18" s="3" t="s">
        <v>76</v>
      </c>
      <c r="B18" s="16">
        <f>SUM(C18:F18)</f>
        <v>521080000</v>
      </c>
      <c r="C18" s="23">
        <v>386360000</v>
      </c>
      <c r="D18" s="16">
        <f>(34240+22560+10560)*1000</f>
        <v>67360000</v>
      </c>
      <c r="E18" s="16">
        <f>(34240+22560+10560)*1000</f>
        <v>67360000</v>
      </c>
      <c r="F18" s="22">
        <v>0</v>
      </c>
    </row>
    <row r="19" spans="1:7" x14ac:dyDescent="0.25">
      <c r="A19" s="3" t="s">
        <v>77</v>
      </c>
      <c r="B19" s="16">
        <f>SUM(C19:F19)</f>
        <v>467720000</v>
      </c>
      <c r="C19" s="16">
        <v>391360000</v>
      </c>
      <c r="D19" s="24">
        <v>26240000</v>
      </c>
      <c r="E19" s="24">
        <v>47880000</v>
      </c>
      <c r="F19" s="22">
        <v>2240000</v>
      </c>
    </row>
    <row r="20" spans="1:7" x14ac:dyDescent="0.25">
      <c r="A20" s="3" t="s">
        <v>13</v>
      </c>
      <c r="B20" s="16">
        <f>SUM(C20:F20)</f>
        <v>1999960000</v>
      </c>
      <c r="C20" s="16">
        <v>1275160000</v>
      </c>
      <c r="D20" s="16">
        <v>237440000</v>
      </c>
      <c r="E20" s="16">
        <v>237440000</v>
      </c>
      <c r="F20" s="16">
        <v>249920000</v>
      </c>
    </row>
    <row r="21" spans="1:7" x14ac:dyDescent="0.25">
      <c r="A21" s="3" t="s">
        <v>78</v>
      </c>
      <c r="B21" s="16">
        <f>SUM(C21:F21)</f>
        <v>467720000</v>
      </c>
      <c r="C21" s="16">
        <f>C19</f>
        <v>391360000</v>
      </c>
      <c r="D21" s="16">
        <f>D19</f>
        <v>26240000</v>
      </c>
      <c r="E21" s="16">
        <f>E19</f>
        <v>47880000</v>
      </c>
      <c r="F21" s="16">
        <f>F19</f>
        <v>2240000</v>
      </c>
    </row>
    <row r="22" spans="1:7" x14ac:dyDescent="0.25">
      <c r="B22" s="16"/>
      <c r="C22" s="4"/>
      <c r="D22" s="4"/>
      <c r="E22" s="4"/>
      <c r="F22" s="15"/>
    </row>
    <row r="23" spans="1:7" x14ac:dyDescent="0.25">
      <c r="A23" t="s">
        <v>16</v>
      </c>
      <c r="B23" s="16"/>
      <c r="C23" s="16"/>
      <c r="D23" s="16"/>
      <c r="E23" s="16"/>
      <c r="F23" s="17"/>
    </row>
    <row r="24" spans="1:7" x14ac:dyDescent="0.25">
      <c r="A24" s="6" t="s">
        <v>76</v>
      </c>
      <c r="B24" s="16">
        <f>B18</f>
        <v>521080000</v>
      </c>
      <c r="C24" s="16">
        <f>C18</f>
        <v>386360000</v>
      </c>
      <c r="D24" s="16">
        <f>D18</f>
        <v>67360000</v>
      </c>
      <c r="E24" s="16">
        <f>E18</f>
        <v>67360000</v>
      </c>
      <c r="F24" s="16">
        <f>F18</f>
        <v>0</v>
      </c>
      <c r="G24" s="7"/>
    </row>
    <row r="25" spans="1:7" x14ac:dyDescent="0.25">
      <c r="A25" s="6" t="s">
        <v>77</v>
      </c>
      <c r="B25" s="16">
        <v>1035640000</v>
      </c>
      <c r="C25" s="16"/>
      <c r="D25" s="16"/>
      <c r="E25" s="16"/>
      <c r="F25" s="17"/>
      <c r="G25" s="7"/>
    </row>
    <row r="26" spans="1:7" x14ac:dyDescent="0.25">
      <c r="B26" s="18"/>
      <c r="C26" s="18"/>
      <c r="D26" s="18"/>
      <c r="E26" s="18"/>
      <c r="F26" s="18"/>
    </row>
    <row r="27" spans="1:7" x14ac:dyDescent="0.25">
      <c r="A27" t="s">
        <v>17</v>
      </c>
      <c r="B27" s="18"/>
      <c r="C27" s="18"/>
      <c r="D27" s="18"/>
      <c r="E27" s="18"/>
      <c r="F27" s="18"/>
    </row>
    <row r="28" spans="1:7" x14ac:dyDescent="0.25">
      <c r="A28" t="s">
        <v>79</v>
      </c>
      <c r="B28" s="19">
        <v>1.4207485692333333</v>
      </c>
      <c r="C28" s="19">
        <v>1.4207485692333333</v>
      </c>
      <c r="D28" s="19">
        <v>1.4207485692333333</v>
      </c>
      <c r="E28" s="19">
        <v>1.4207485692333333</v>
      </c>
      <c r="F28" s="19">
        <v>1.4207485692333333</v>
      </c>
    </row>
    <row r="29" spans="1:7" x14ac:dyDescent="0.25">
      <c r="A29" t="s">
        <v>80</v>
      </c>
      <c r="B29" s="15">
        <v>1.4880743485666665</v>
      </c>
      <c r="C29" s="15">
        <v>1.4880743485666665</v>
      </c>
      <c r="D29" s="15">
        <v>1.4880743485666665</v>
      </c>
      <c r="E29" s="15">
        <v>1.4880743485666665</v>
      </c>
      <c r="F29" s="15">
        <v>1.4880743485666665</v>
      </c>
    </row>
    <row r="30" spans="1:7" x14ac:dyDescent="0.25">
      <c r="A30" t="s">
        <v>20</v>
      </c>
      <c r="B30" s="4">
        <v>69704</v>
      </c>
      <c r="C30" s="4">
        <v>69704</v>
      </c>
      <c r="D30" s="4">
        <v>69704</v>
      </c>
      <c r="E30" s="4">
        <v>69704</v>
      </c>
      <c r="F30" s="4">
        <v>69704</v>
      </c>
    </row>
    <row r="31" spans="1:7" x14ac:dyDescent="0.25">
      <c r="B31" s="18"/>
      <c r="C31" s="18"/>
      <c r="D31" s="18"/>
      <c r="E31" s="18"/>
      <c r="F31" s="18"/>
    </row>
    <row r="32" spans="1:7" x14ac:dyDescent="0.25">
      <c r="A32" t="s">
        <v>21</v>
      </c>
      <c r="B32" s="18"/>
      <c r="C32" s="18"/>
      <c r="D32" s="18"/>
      <c r="E32" s="18"/>
      <c r="F32" s="18"/>
    </row>
    <row r="33" spans="1:6" x14ac:dyDescent="0.25">
      <c r="A33" t="s">
        <v>81</v>
      </c>
      <c r="B33" s="16">
        <f>B17/B28</f>
        <v>31000383.145743348</v>
      </c>
      <c r="C33" s="16">
        <f>C17/C28</f>
        <v>17198679.998098224</v>
      </c>
      <c r="D33" s="16">
        <f>D17/D28</f>
        <v>12352643.092556736</v>
      </c>
      <c r="E33" s="16">
        <f>E17/E28</f>
        <v>1449060.0550883864</v>
      </c>
      <c r="F33" s="16">
        <f>F17/F28</f>
        <v>0</v>
      </c>
    </row>
    <row r="34" spans="1:6" x14ac:dyDescent="0.25">
      <c r="A34" t="s">
        <v>82</v>
      </c>
      <c r="B34" s="16">
        <f>B19/B29</f>
        <v>314312252.24096787</v>
      </c>
      <c r="C34" s="16">
        <f>C19/C29</f>
        <v>262997611.89819801</v>
      </c>
      <c r="D34" s="16">
        <f>D19/D29</f>
        <v>17633527.535283923</v>
      </c>
      <c r="E34" s="16">
        <f>E19/E29</f>
        <v>32175811.676425084</v>
      </c>
      <c r="F34" s="16">
        <f>F19/F29</f>
        <v>1505301.1310608226</v>
      </c>
    </row>
    <row r="35" spans="1:6" x14ac:dyDescent="0.25">
      <c r="A35" t="s">
        <v>83</v>
      </c>
      <c r="B35" s="16">
        <f>B33/B10</f>
        <v>500006.179770054</v>
      </c>
      <c r="C35" s="16">
        <f>C33/C10</f>
        <v>1228477.1427213016</v>
      </c>
      <c r="D35" s="16">
        <f>D33/D10</f>
        <v>257346.73109493198</v>
      </c>
      <c r="E35" s="16" t="e">
        <f>E33/E10</f>
        <v>#DIV/0!</v>
      </c>
      <c r="F35" s="16" t="e">
        <f>F33/F10</f>
        <v>#DIV/0!</v>
      </c>
    </row>
    <row r="36" spans="1:6" x14ac:dyDescent="0.25">
      <c r="A36" t="s">
        <v>84</v>
      </c>
      <c r="B36" s="16">
        <f>B34/B12</f>
        <v>406613.52165713825</v>
      </c>
      <c r="C36" s="16">
        <f>C34/C12</f>
        <v>415478.05987077096</v>
      </c>
      <c r="D36" s="16">
        <f>D34/D12</f>
        <v>1037266.3256049367</v>
      </c>
      <c r="E36" s="16">
        <f>E34/E12</f>
        <v>275006.93740534259</v>
      </c>
      <c r="F36" s="16">
        <f>F34/F12</f>
        <v>250883.52184347043</v>
      </c>
    </row>
    <row r="38" spans="1:6" x14ac:dyDescent="0.25">
      <c r="A38" s="2" t="s">
        <v>26</v>
      </c>
    </row>
    <row r="40" spans="1:6" x14ac:dyDescent="0.25">
      <c r="A40" t="s">
        <v>27</v>
      </c>
    </row>
    <row r="41" spans="1:6" x14ac:dyDescent="0.25">
      <c r="A41" t="s">
        <v>28</v>
      </c>
      <c r="B41" s="9">
        <f>B11/B30*100</f>
        <v>0.76896591300355788</v>
      </c>
      <c r="C41" s="9">
        <f>C11/C30*100</f>
        <v>0.57959371054745779</v>
      </c>
      <c r="D41" s="9">
        <f>D11/D30*100</f>
        <v>9.4686101228050046E-2</v>
      </c>
      <c r="E41" s="9">
        <f>E11/E30*100</f>
        <v>9.4686101228050046E-2</v>
      </c>
      <c r="F41" s="9">
        <f>F11/F30*100</f>
        <v>0</v>
      </c>
    </row>
    <row r="42" spans="1:6" x14ac:dyDescent="0.25">
      <c r="A42" t="s">
        <v>29</v>
      </c>
      <c r="B42" s="9">
        <f>B12/B30*100</f>
        <v>1.1089750946861012</v>
      </c>
      <c r="C42" s="9">
        <f>C12/C30*100</f>
        <v>0.90812578905084351</v>
      </c>
      <c r="D42" s="9">
        <f>D12/D30*100</f>
        <v>2.4388844255709859E-2</v>
      </c>
      <c r="E42" s="9">
        <f>E12/E30*100</f>
        <v>0.16785263399517961</v>
      </c>
      <c r="F42" s="9">
        <f>F12/F30*100</f>
        <v>8.6078273843681868E-3</v>
      </c>
    </row>
    <row r="44" spans="1:6" x14ac:dyDescent="0.25">
      <c r="A44" t="s">
        <v>30</v>
      </c>
    </row>
    <row r="45" spans="1:6" x14ac:dyDescent="0.25">
      <c r="A45" t="s">
        <v>31</v>
      </c>
      <c r="B45" s="9">
        <f>B12/B11*100</f>
        <v>144.21641791044777</v>
      </c>
      <c r="C45" s="9">
        <f>C12/C11*100</f>
        <v>156.68316831683168</v>
      </c>
      <c r="D45" s="9">
        <f>D12/D11*100</f>
        <v>25.757575757575758</v>
      </c>
      <c r="E45" s="9">
        <f>E12/E11*100</f>
        <v>177.27272727272728</v>
      </c>
      <c r="F45" s="9" t="e">
        <f>F12/F11*100</f>
        <v>#DIV/0!</v>
      </c>
    </row>
    <row r="46" spans="1:6" x14ac:dyDescent="0.25">
      <c r="A46" t="s">
        <v>32</v>
      </c>
      <c r="B46" s="9">
        <f>B19/B18*100</f>
        <v>89.759729791970528</v>
      </c>
      <c r="C46" s="9">
        <f>C19/C18*100</f>
        <v>101.29412982710426</v>
      </c>
      <c r="D46" s="9">
        <f>D19/D18*100</f>
        <v>38.954869358669839</v>
      </c>
      <c r="E46" s="9">
        <f>E19/E18*100</f>
        <v>71.080760095011868</v>
      </c>
      <c r="F46" s="9" t="e">
        <f>F19/F18*100</f>
        <v>#DIV/0!</v>
      </c>
    </row>
    <row r="47" spans="1:6" x14ac:dyDescent="0.25">
      <c r="A47" t="s">
        <v>33</v>
      </c>
      <c r="B47" s="11">
        <f>AVERAGE(B45:B46)</f>
        <v>116.98807385120915</v>
      </c>
      <c r="C47" s="11">
        <f>AVERAGE(C45:C46)</f>
        <v>128.98864907196798</v>
      </c>
      <c r="D47" s="11">
        <f>AVERAGE(D45:D46)</f>
        <v>32.356222558122795</v>
      </c>
      <c r="E47" s="11">
        <f>AVERAGE(E45:E46)</f>
        <v>124.17674368386957</v>
      </c>
      <c r="F47" s="11" t="e">
        <f>AVERAGE(F45:F46)</f>
        <v>#DIV/0!</v>
      </c>
    </row>
    <row r="48" spans="1:6" x14ac:dyDescent="0.25">
      <c r="B48" s="11"/>
      <c r="C48" s="11"/>
      <c r="D48" s="11"/>
      <c r="E48" s="11"/>
    </row>
    <row r="49" spans="1:9" x14ac:dyDescent="0.25">
      <c r="A49" t="s">
        <v>34</v>
      </c>
      <c r="B49" s="18"/>
      <c r="C49" s="18"/>
      <c r="D49" s="18"/>
      <c r="E49" s="18"/>
    </row>
    <row r="50" spans="1:9" x14ac:dyDescent="0.25">
      <c r="A50" t="s">
        <v>35</v>
      </c>
      <c r="B50" s="11">
        <f>B12/B14*100</f>
        <v>14.831158864159633</v>
      </c>
      <c r="C50" s="11">
        <f>C12/C14*100</f>
        <v>23.805942083490034</v>
      </c>
      <c r="D50" s="11">
        <f>D12/D14*100</f>
        <v>3.4343434343434343</v>
      </c>
      <c r="E50" s="11">
        <f>E12/E14*100</f>
        <v>23.636363636363637</v>
      </c>
      <c r="F50" s="11">
        <f>F12/F14*100</f>
        <v>0.38387715930902111</v>
      </c>
    </row>
    <row r="51" spans="1:9" x14ac:dyDescent="0.25">
      <c r="A51" t="s">
        <v>36</v>
      </c>
      <c r="B51" s="11">
        <f>B19/B20*100</f>
        <v>23.386467729354589</v>
      </c>
      <c r="C51" s="11">
        <f>C19/C20*100</f>
        <v>30.691050534834847</v>
      </c>
      <c r="D51" s="11">
        <f>D19/D20*100</f>
        <v>11.05121293800539</v>
      </c>
      <c r="E51" s="11">
        <f>E19/E20*100</f>
        <v>20.165094339622641</v>
      </c>
      <c r="F51" s="11">
        <f>F19/F20*100</f>
        <v>0.89628681177976954</v>
      </c>
    </row>
    <row r="52" spans="1:9" x14ac:dyDescent="0.25">
      <c r="A52" t="s">
        <v>37</v>
      </c>
      <c r="B52" s="11">
        <f>(B50+B51)/2</f>
        <v>19.108813296757113</v>
      </c>
      <c r="C52" s="11">
        <f>(C50+C51)/2</f>
        <v>27.248496309162441</v>
      </c>
      <c r="D52" s="11">
        <f>(D50+D51)/2</f>
        <v>7.2427781861744123</v>
      </c>
      <c r="E52" s="11">
        <f>(E50+E51)/2</f>
        <v>21.900728987993141</v>
      </c>
      <c r="F52" s="11">
        <f>(F50+F51)/2</f>
        <v>0.64008198554439533</v>
      </c>
    </row>
    <row r="53" spans="1:9" x14ac:dyDescent="0.25">
      <c r="B53" s="18"/>
      <c r="C53" s="18"/>
      <c r="D53" s="18"/>
      <c r="E53" s="18"/>
    </row>
    <row r="54" spans="1:9" x14ac:dyDescent="0.25">
      <c r="A54" t="s">
        <v>38</v>
      </c>
      <c r="B54" s="11">
        <f>B21/B19*100</f>
        <v>100</v>
      </c>
      <c r="C54" s="11">
        <f>C21/C19*100</f>
        <v>100</v>
      </c>
      <c r="D54" s="11">
        <f>D21/D19*100</f>
        <v>100</v>
      </c>
      <c r="E54" s="11">
        <f>E21/E19*100</f>
        <v>100</v>
      </c>
      <c r="F54" s="11">
        <f>F21/F19*100</f>
        <v>100</v>
      </c>
    </row>
    <row r="55" spans="1:9" x14ac:dyDescent="0.25">
      <c r="B55" s="18"/>
      <c r="C55" s="18"/>
      <c r="D55" s="18"/>
      <c r="E55" s="18"/>
    </row>
    <row r="56" spans="1:9" x14ac:dyDescent="0.25">
      <c r="A56" t="s">
        <v>39</v>
      </c>
      <c r="B56" s="18"/>
      <c r="C56" s="18"/>
      <c r="D56" s="18"/>
      <c r="E56" s="18"/>
    </row>
    <row r="57" spans="1:9" x14ac:dyDescent="0.25">
      <c r="A57" t="s">
        <v>40</v>
      </c>
      <c r="B57" s="11">
        <f>((B12/B10)-1)*100</f>
        <v>1146.7741935483871</v>
      </c>
      <c r="C57" s="11">
        <f>((C12/C10)-1)*100</f>
        <v>4421.4285714285716</v>
      </c>
      <c r="D57" s="11">
        <f>((D12/D10)-1)*100</f>
        <v>-64.583333333333329</v>
      </c>
      <c r="E57" s="11" t="e">
        <f>((E12/E10)-1)*100</f>
        <v>#DIV/0!</v>
      </c>
      <c r="F57" s="11" t="e">
        <f>((F12/F10)-1)*100</f>
        <v>#DIV/0!</v>
      </c>
    </row>
    <row r="58" spans="1:9" x14ac:dyDescent="0.25">
      <c r="A58" t="s">
        <v>42</v>
      </c>
      <c r="B58" s="11">
        <f>((B34/B33)-1)*100</f>
        <v>913.89795978739699</v>
      </c>
      <c r="C58" s="11">
        <f>((C34/C33)-1)*100</f>
        <v>1429.1732384536456</v>
      </c>
      <c r="D58" s="11">
        <f>((D34/D33)-1)*100</f>
        <v>42.751048525875902</v>
      </c>
      <c r="E58" s="11">
        <f>((E34/E33)-1)*100</f>
        <v>2120.4608817584513</v>
      </c>
      <c r="F58" s="11" t="e">
        <f>((F34/F33)-1)*100</f>
        <v>#DIV/0!</v>
      </c>
    </row>
    <row r="59" spans="1:9" x14ac:dyDescent="0.25">
      <c r="A59" t="s">
        <v>43</v>
      </c>
      <c r="B59" s="11">
        <f>((B36/B35)-1)*100</f>
        <v>-18.678300767375667</v>
      </c>
      <c r="C59" s="11">
        <f>((C36/C35)-1)*100</f>
        <v>-66.179422846206876</v>
      </c>
      <c r="D59" s="11">
        <f>((D36/D35)-1)*100</f>
        <v>303.06178407306146</v>
      </c>
      <c r="E59" s="11" t="e">
        <f>((E36/E35)-1)*100</f>
        <v>#DIV/0!</v>
      </c>
      <c r="F59" s="11" t="e">
        <f>((F36/F35)-1)*100</f>
        <v>#DIV/0!</v>
      </c>
    </row>
    <row r="60" spans="1:9" x14ac:dyDescent="0.25">
      <c r="B60" s="11"/>
      <c r="C60" s="11"/>
      <c r="D60" s="11"/>
      <c r="E60" s="11"/>
    </row>
    <row r="61" spans="1:9" x14ac:dyDescent="0.25">
      <c r="A61" t="s">
        <v>44</v>
      </c>
      <c r="B61" s="18"/>
      <c r="C61" s="18"/>
      <c r="D61" s="18"/>
      <c r="E61" s="18"/>
    </row>
    <row r="62" spans="1:9" x14ac:dyDescent="0.25">
      <c r="A62" s="18" t="s">
        <v>124</v>
      </c>
      <c r="B62" s="16">
        <f t="shared" ref="B62:F63" si="0">B18/(B11*3)</f>
        <v>324054.72636815923</v>
      </c>
      <c r="C62" s="16">
        <f t="shared" si="0"/>
        <v>318778.87788778875</v>
      </c>
      <c r="D62" s="16">
        <f t="shared" si="0"/>
        <v>340202.02020202018</v>
      </c>
      <c r="E62" s="16">
        <f t="shared" si="0"/>
        <v>340202.02020202018</v>
      </c>
      <c r="F62" s="16" t="e">
        <f t="shared" si="0"/>
        <v>#DIV/0!</v>
      </c>
      <c r="G62" s="18"/>
      <c r="H62" s="18"/>
      <c r="I62" s="18"/>
    </row>
    <row r="63" spans="1:9" x14ac:dyDescent="0.25">
      <c r="A63" s="18" t="s">
        <v>125</v>
      </c>
      <c r="B63" s="16">
        <f t="shared" si="0"/>
        <v>201690.38378611472</v>
      </c>
      <c r="C63" s="16">
        <f t="shared" si="0"/>
        <v>206087.41442864665</v>
      </c>
      <c r="D63" s="16">
        <f t="shared" si="0"/>
        <v>514509.80392156861</v>
      </c>
      <c r="E63" s="16">
        <f t="shared" si="0"/>
        <v>136410.25641025641</v>
      </c>
      <c r="F63" s="16">
        <f t="shared" si="0"/>
        <v>124444.44444444444</v>
      </c>
      <c r="G63" s="18"/>
      <c r="H63" s="18"/>
      <c r="I63" s="18"/>
    </row>
    <row r="64" spans="1:9" x14ac:dyDescent="0.25">
      <c r="A64" s="18" t="s">
        <v>111</v>
      </c>
      <c r="B64" s="16">
        <f>B19/B13</f>
        <v>156166.9449081803</v>
      </c>
      <c r="C64" s="16">
        <f>C19/C13</f>
        <v>160000</v>
      </c>
      <c r="D64" s="16">
        <f>D19/D13</f>
        <v>136666.66666666666</v>
      </c>
      <c r="E64" s="16">
        <f>E19/E13</f>
        <v>139591.83673469388</v>
      </c>
      <c r="F64" s="16">
        <f>F19/F13</f>
        <v>160000</v>
      </c>
      <c r="G64" s="18"/>
      <c r="H64" s="18"/>
      <c r="I64" s="18"/>
    </row>
    <row r="65" spans="1:9" x14ac:dyDescent="0.25">
      <c r="A65" s="18" t="s">
        <v>45</v>
      </c>
      <c r="B65" s="11">
        <f>(B62/B63)*B47</f>
        <v>187.96403451933693</v>
      </c>
      <c r="C65" s="11">
        <f>(C62/C63)*C47</f>
        <v>199.5214357238697</v>
      </c>
      <c r="D65" s="11">
        <f>(D62/D63)*D47</f>
        <v>21.394446124213307</v>
      </c>
      <c r="E65" s="11">
        <f>(E62/E63)*E47</f>
        <v>309.69210215621695</v>
      </c>
      <c r="F65" s="11" t="e">
        <f>(F62/F63)*F47</f>
        <v>#DIV/0!</v>
      </c>
      <c r="G65" s="18"/>
      <c r="H65" s="18"/>
      <c r="I65" s="18"/>
    </row>
    <row r="66" spans="1:9" x14ac:dyDescent="0.25">
      <c r="A66" t="s">
        <v>126</v>
      </c>
      <c r="B66" s="16">
        <f t="shared" ref="B66:F67" si="1">B18/B11</f>
        <v>972164.17910447763</v>
      </c>
      <c r="C66" s="16">
        <f t="shared" si="1"/>
        <v>956336.63366336632</v>
      </c>
      <c r="D66" s="16">
        <f t="shared" si="1"/>
        <v>1020606.0606060605</v>
      </c>
      <c r="E66" s="16">
        <f t="shared" si="1"/>
        <v>1020606.0606060605</v>
      </c>
      <c r="F66" s="16" t="e">
        <f t="shared" si="1"/>
        <v>#DIV/0!</v>
      </c>
    </row>
    <row r="67" spans="1:9" x14ac:dyDescent="0.25">
      <c r="A67" t="s">
        <v>127</v>
      </c>
      <c r="B67" s="16">
        <f t="shared" si="1"/>
        <v>605071.15135834413</v>
      </c>
      <c r="C67" s="16">
        <f t="shared" si="1"/>
        <v>618262.24328593991</v>
      </c>
      <c r="D67" s="16">
        <f t="shared" si="1"/>
        <v>1543529.4117647058</v>
      </c>
      <c r="E67" s="16">
        <f t="shared" si="1"/>
        <v>409230.76923076925</v>
      </c>
      <c r="F67" s="16">
        <f t="shared" si="1"/>
        <v>373333.33333333331</v>
      </c>
    </row>
    <row r="68" spans="1:9" x14ac:dyDescent="0.25">
      <c r="B68" s="11"/>
      <c r="C68" s="11"/>
      <c r="D68" s="11"/>
      <c r="E68" s="11"/>
    </row>
    <row r="69" spans="1:9" x14ac:dyDescent="0.25">
      <c r="A69" t="s">
        <v>46</v>
      </c>
      <c r="B69" s="11"/>
      <c r="C69" s="11"/>
      <c r="D69" s="11"/>
      <c r="E69" s="11"/>
    </row>
    <row r="70" spans="1:9" x14ac:dyDescent="0.25">
      <c r="A70" t="s">
        <v>47</v>
      </c>
      <c r="B70" s="11">
        <f>(B25/B24)*100</f>
        <v>198.74875259077299</v>
      </c>
      <c r="C70" s="11"/>
      <c r="D70" s="11"/>
      <c r="E70" s="11"/>
      <c r="G70" s="7"/>
    </row>
    <row r="71" spans="1:9" x14ac:dyDescent="0.25">
      <c r="A71" t="s">
        <v>48</v>
      </c>
      <c r="B71" s="11">
        <f>(B19/B25)*100</f>
        <v>45.162411648835501</v>
      </c>
      <c r="C71" s="11"/>
      <c r="D71" s="11"/>
      <c r="E71" s="11"/>
      <c r="G71" s="7"/>
    </row>
    <row r="72" spans="1:9" ht="15.75" thickBot="1" x14ac:dyDescent="0.3">
      <c r="A72" s="12"/>
      <c r="B72" s="12"/>
      <c r="C72" s="12"/>
      <c r="D72" s="12"/>
      <c r="E72" s="12"/>
      <c r="F72" s="12"/>
    </row>
    <row r="73" spans="1:9" ht="15.75" thickTop="1" x14ac:dyDescent="0.25"/>
    <row r="74" spans="1:9" x14ac:dyDescent="0.25">
      <c r="A74" s="14" t="s">
        <v>61</v>
      </c>
    </row>
    <row r="75" spans="1:9" x14ac:dyDescent="0.25">
      <c r="A75" t="s">
        <v>112</v>
      </c>
    </row>
    <row r="76" spans="1:9" x14ac:dyDescent="0.25">
      <c r="A76" t="s">
        <v>114</v>
      </c>
      <c r="B76" s="13"/>
      <c r="C76" s="13"/>
      <c r="D76" s="13"/>
    </row>
    <row r="77" spans="1:9" x14ac:dyDescent="0.25">
      <c r="A77" t="s">
        <v>113</v>
      </c>
    </row>
    <row r="78" spans="1:9" x14ac:dyDescent="0.25">
      <c r="A78" t="s">
        <v>118</v>
      </c>
    </row>
    <row r="80" spans="1:9" x14ac:dyDescent="0.25">
      <c r="A80" t="s">
        <v>115</v>
      </c>
    </row>
    <row r="81" spans="1:1" x14ac:dyDescent="0.25">
      <c r="A81" s="25" t="s">
        <v>116</v>
      </c>
    </row>
    <row r="82" spans="1:1" x14ac:dyDescent="0.25">
      <c r="A82" s="25" t="s">
        <v>117</v>
      </c>
    </row>
    <row r="83" spans="1:1" x14ac:dyDescent="0.25">
      <c r="A83" s="25" t="s">
        <v>119</v>
      </c>
    </row>
    <row r="84" spans="1:1" x14ac:dyDescent="0.25">
      <c r="A84" s="25" t="s">
        <v>120</v>
      </c>
    </row>
    <row r="85" spans="1:1" x14ac:dyDescent="0.25">
      <c r="A85" s="27" t="s">
        <v>121</v>
      </c>
    </row>
  </sheetData>
  <mergeCells count="4">
    <mergeCell ref="A4:A5"/>
    <mergeCell ref="B4:B5"/>
    <mergeCell ref="C4:F4"/>
    <mergeCell ref="A2:F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5"/>
  <sheetViews>
    <sheetView topLeftCell="A67" workbookViewId="0">
      <selection activeCell="D92" sqref="D92"/>
    </sheetView>
  </sheetViews>
  <sheetFormatPr baseColWidth="10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6" ht="15.75" x14ac:dyDescent="0.25">
      <c r="A2" s="53" t="s">
        <v>85</v>
      </c>
      <c r="B2" s="53"/>
      <c r="C2" s="53"/>
      <c r="D2" s="53"/>
      <c r="E2" s="53"/>
      <c r="F2" s="53"/>
    </row>
    <row r="4" spans="1:6" x14ac:dyDescent="0.25">
      <c r="A4" s="48" t="s">
        <v>1</v>
      </c>
      <c r="B4" s="50" t="s">
        <v>2</v>
      </c>
      <c r="C4" s="52" t="s">
        <v>3</v>
      </c>
      <c r="D4" s="52"/>
      <c r="E4" s="52"/>
      <c r="F4" s="52"/>
    </row>
    <row r="5" spans="1:6" ht="15.75" thickBot="1" x14ac:dyDescent="0.3">
      <c r="A5" s="49"/>
      <c r="B5" s="51"/>
      <c r="C5" s="1" t="s">
        <v>4</v>
      </c>
      <c r="D5" s="1" t="s">
        <v>5</v>
      </c>
      <c r="E5" s="1" t="s">
        <v>6</v>
      </c>
      <c r="F5" s="1" t="s">
        <v>7</v>
      </c>
    </row>
    <row r="6" spans="1:6" ht="15.75" thickTop="1" x14ac:dyDescent="0.25"/>
    <row r="7" spans="1:6" x14ac:dyDescent="0.25">
      <c r="A7" s="2" t="s">
        <v>8</v>
      </c>
    </row>
    <row r="9" spans="1:6" x14ac:dyDescent="0.25">
      <c r="A9" t="s">
        <v>9</v>
      </c>
    </row>
    <row r="10" spans="1:6" x14ac:dyDescent="0.25">
      <c r="A10" s="3" t="s">
        <v>86</v>
      </c>
      <c r="B10" s="4">
        <f>SUM(C10:F10)</f>
        <v>2764</v>
      </c>
      <c r="C10" s="4">
        <f>+'I trimestre'!C10+'II Trimestre'!C10</f>
        <v>2106</v>
      </c>
      <c r="D10" s="4">
        <f>+'I trimestre'!D10+'II Trimestre'!D10</f>
        <v>261</v>
      </c>
      <c r="E10" s="4">
        <f>+'I trimestre'!E10+'II Trimestre'!E10</f>
        <v>397</v>
      </c>
      <c r="F10" s="4">
        <f>+'I trimestre'!F10+'II Trimestre'!F10</f>
        <v>0</v>
      </c>
    </row>
    <row r="11" spans="1:6" x14ac:dyDescent="0.25">
      <c r="A11" s="3" t="s">
        <v>87</v>
      </c>
      <c r="B11" s="4">
        <f>SUM(C11:F11)</f>
        <v>2483</v>
      </c>
      <c r="C11" s="4">
        <f>+'I trimestre'!C11+'II Trimestre'!C11</f>
        <v>650</v>
      </c>
      <c r="D11" s="4">
        <f>+'I trimestre'!D11+'II Trimestre'!D11</f>
        <v>135</v>
      </c>
      <c r="E11" s="4">
        <f>+'I trimestre'!E11+'II Trimestre'!E11</f>
        <v>135</v>
      </c>
      <c r="F11" s="4">
        <f>+'I trimestre'!F11+'II Trimestre'!F11</f>
        <v>1563</v>
      </c>
    </row>
    <row r="12" spans="1:6" x14ac:dyDescent="0.25">
      <c r="A12" s="3" t="s">
        <v>88</v>
      </c>
      <c r="B12" s="4">
        <f>SUM(C12:F12)</f>
        <v>1836</v>
      </c>
      <c r="C12" s="4">
        <f>+'I trimestre'!C12+'II Trimestre'!C12</f>
        <v>1151</v>
      </c>
      <c r="D12" s="4">
        <f>+'I trimestre'!D12+'II Trimestre'!D12</f>
        <v>134</v>
      </c>
      <c r="E12" s="4">
        <f>+'I trimestre'!E12+'II Trimestre'!E12</f>
        <v>84</v>
      </c>
      <c r="F12" s="4">
        <f>+'I trimestre'!F12+'II Trimestre'!F12</f>
        <v>467</v>
      </c>
    </row>
    <row r="13" spans="1:6" x14ac:dyDescent="0.25">
      <c r="A13" s="20" t="s">
        <v>110</v>
      </c>
      <c r="B13" s="4">
        <f>SUM(C13:F13)</f>
        <v>3829</v>
      </c>
      <c r="C13" s="4">
        <f>+'I trimestre'!C13+'II Trimestre'!C13</f>
        <v>1935</v>
      </c>
      <c r="D13" s="4">
        <f>+'I trimestre'!D13+'II Trimestre'!D13</f>
        <v>295</v>
      </c>
      <c r="E13" s="4">
        <f>+'I trimestre'!E13+'II Trimestre'!E13</f>
        <v>173</v>
      </c>
      <c r="F13" s="4">
        <f>+'I trimestre'!F13+'II Trimestre'!F13</f>
        <v>1426</v>
      </c>
    </row>
    <row r="14" spans="1:6" x14ac:dyDescent="0.25">
      <c r="A14" s="3" t="s">
        <v>13</v>
      </c>
      <c r="B14" s="4">
        <f>SUM(C14:F14)</f>
        <v>3125</v>
      </c>
      <c r="C14" s="4">
        <f>'II Trimestre'!C14</f>
        <v>1094</v>
      </c>
      <c r="D14" s="4">
        <f>'II Trimestre'!D14</f>
        <v>234</v>
      </c>
      <c r="E14" s="4">
        <f>'II Trimestre'!E14</f>
        <v>234</v>
      </c>
      <c r="F14" s="4">
        <f>'II Trimestre'!F14</f>
        <v>1563</v>
      </c>
    </row>
    <row r="16" spans="1:6" x14ac:dyDescent="0.25">
      <c r="A16" s="5" t="s">
        <v>14</v>
      </c>
    </row>
    <row r="17" spans="1:8" x14ac:dyDescent="0.25">
      <c r="A17" s="3" t="s">
        <v>89</v>
      </c>
      <c r="B17" s="4">
        <f>SUM(C17:F17)</f>
        <v>869231250</v>
      </c>
      <c r="C17" s="16">
        <f>+'I trimestre'!C17+'II Trimestre'!C17</f>
        <v>667440000</v>
      </c>
      <c r="D17" s="16">
        <f>+'I trimestre'!D17+'II Trimestre'!D17</f>
        <v>73676250</v>
      </c>
      <c r="E17" s="16">
        <f>+'I trimestre'!E17+'II Trimestre'!E17</f>
        <v>128115000</v>
      </c>
      <c r="F17" s="21">
        <f>+'I trimestre'!F17+'II Trimestre'!F17</f>
        <v>0</v>
      </c>
    </row>
    <row r="18" spans="1:8" x14ac:dyDescent="0.25">
      <c r="A18" s="3" t="s">
        <v>87</v>
      </c>
      <c r="B18" s="4">
        <f>SUM(C18:F18)</f>
        <v>1162240000</v>
      </c>
      <c r="C18" s="16">
        <f>+'I trimestre'!C18+'II Trimestre'!C18</f>
        <v>311200000</v>
      </c>
      <c r="D18" s="16">
        <f>+'I trimestre'!D18+'II Trimestre'!D18</f>
        <v>50400000</v>
      </c>
      <c r="E18" s="16">
        <f>+'I trimestre'!E18+'II Trimestre'!E18</f>
        <v>50400000</v>
      </c>
      <c r="F18" s="21">
        <f>+'I trimestre'!F18+'II Trimestre'!F18</f>
        <v>750240000</v>
      </c>
    </row>
    <row r="19" spans="1:8" x14ac:dyDescent="0.25">
      <c r="A19" s="3" t="s">
        <v>88</v>
      </c>
      <c r="B19" s="4">
        <f>SUM(C19:F19)</f>
        <v>607280000</v>
      </c>
      <c r="C19" s="16">
        <f>+'I trimestre'!C19+'II Trimestre'!C19</f>
        <v>309600000</v>
      </c>
      <c r="D19" s="16">
        <f>+'I trimestre'!D19+'II Trimestre'!D19</f>
        <v>45600000</v>
      </c>
      <c r="E19" s="16">
        <f>+'I trimestre'!E19+'II Trimestre'!E19</f>
        <v>23920000</v>
      </c>
      <c r="F19" s="21">
        <f>+'I trimestre'!F19+'II Trimestre'!F19</f>
        <v>228160000</v>
      </c>
    </row>
    <row r="20" spans="1:8" x14ac:dyDescent="0.25">
      <c r="A20" s="3" t="s">
        <v>13</v>
      </c>
      <c r="B20" s="4">
        <f>SUM(C20:F20)</f>
        <v>1500000000</v>
      </c>
      <c r="C20" s="4">
        <f>'II Trimestre'!C20</f>
        <v>525120000</v>
      </c>
      <c r="D20" s="4">
        <f>'II Trimestre'!D20</f>
        <v>112320000</v>
      </c>
      <c r="E20" s="4">
        <f>'II Trimestre'!E20</f>
        <v>112320000</v>
      </c>
      <c r="F20" s="4">
        <f>'II Trimestre'!F20</f>
        <v>750240000</v>
      </c>
    </row>
    <row r="21" spans="1:8" x14ac:dyDescent="0.25">
      <c r="A21" s="3" t="s">
        <v>90</v>
      </c>
      <c r="B21" s="4">
        <f>SUM(C21:F21)</f>
        <v>607280000</v>
      </c>
      <c r="C21" s="4">
        <f>C19</f>
        <v>309600000</v>
      </c>
      <c r="D21" s="4">
        <f>D19</f>
        <v>45600000</v>
      </c>
      <c r="E21" s="4">
        <f>E19</f>
        <v>23920000</v>
      </c>
      <c r="F21" s="4">
        <f>F19</f>
        <v>228160000</v>
      </c>
      <c r="H21" s="4"/>
    </row>
    <row r="22" spans="1:8" x14ac:dyDescent="0.25">
      <c r="B22" s="4"/>
      <c r="C22" s="4"/>
      <c r="D22" s="4"/>
      <c r="E22" s="4"/>
      <c r="F22" s="15"/>
    </row>
    <row r="23" spans="1:8" x14ac:dyDescent="0.25">
      <c r="A23" t="s">
        <v>16</v>
      </c>
      <c r="B23" s="16"/>
      <c r="C23" s="16"/>
      <c r="D23" s="16"/>
      <c r="E23" s="16"/>
      <c r="F23" s="17"/>
    </row>
    <row r="24" spans="1:8" x14ac:dyDescent="0.25">
      <c r="A24" s="6" t="s">
        <v>87</v>
      </c>
      <c r="B24" s="16">
        <f>B18</f>
        <v>1162240000</v>
      </c>
      <c r="C24" s="16">
        <f>C18</f>
        <v>311200000</v>
      </c>
      <c r="D24" s="16">
        <f>D18</f>
        <v>50400000</v>
      </c>
      <c r="E24" s="16">
        <f>E18</f>
        <v>50400000</v>
      </c>
      <c r="F24" s="16">
        <f>F18</f>
        <v>750240000</v>
      </c>
      <c r="G24" s="7"/>
    </row>
    <row r="25" spans="1:8" x14ac:dyDescent="0.25">
      <c r="A25" s="6" t="s">
        <v>88</v>
      </c>
      <c r="B25" s="16">
        <f>+'I trimestre'!B25+'II Trimestre'!B25</f>
        <v>257760000</v>
      </c>
      <c r="C25" s="16"/>
      <c r="D25" s="16"/>
      <c r="E25" s="16"/>
      <c r="F25" s="17"/>
      <c r="G25" s="7"/>
    </row>
    <row r="26" spans="1:8" x14ac:dyDescent="0.25">
      <c r="B26" s="18"/>
      <c r="C26" s="18"/>
      <c r="D26" s="18"/>
      <c r="E26" s="18"/>
      <c r="F26" s="18"/>
    </row>
    <row r="27" spans="1:8" x14ac:dyDescent="0.25">
      <c r="A27" t="s">
        <v>17</v>
      </c>
      <c r="B27" s="18"/>
      <c r="C27" s="18"/>
      <c r="D27" s="18"/>
      <c r="E27" s="18"/>
      <c r="F27" s="18"/>
    </row>
    <row r="28" spans="1:8" x14ac:dyDescent="0.25">
      <c r="A28" t="s">
        <v>91</v>
      </c>
      <c r="B28" s="19">
        <v>1.39</v>
      </c>
      <c r="C28" s="19">
        <v>1.39</v>
      </c>
      <c r="D28" s="19">
        <v>1.39</v>
      </c>
      <c r="E28" s="19">
        <v>1.39</v>
      </c>
      <c r="F28" s="19">
        <v>1.39</v>
      </c>
    </row>
    <row r="29" spans="1:8" x14ac:dyDescent="0.25">
      <c r="A29" t="s">
        <v>92</v>
      </c>
      <c r="B29" s="15">
        <v>1.45</v>
      </c>
      <c r="C29" s="15">
        <v>1.45</v>
      </c>
      <c r="D29" s="15">
        <v>1.45</v>
      </c>
      <c r="E29" s="15">
        <v>1.45</v>
      </c>
      <c r="F29" s="15">
        <v>1.45</v>
      </c>
    </row>
    <row r="30" spans="1:8" x14ac:dyDescent="0.25">
      <c r="A30" t="s">
        <v>20</v>
      </c>
      <c r="B30" s="4">
        <v>69704</v>
      </c>
      <c r="C30" s="4">
        <v>69704</v>
      </c>
      <c r="D30" s="4">
        <v>69704</v>
      </c>
      <c r="E30" s="4">
        <v>69704</v>
      </c>
      <c r="F30" s="4">
        <v>69704</v>
      </c>
    </row>
    <row r="31" spans="1:8" x14ac:dyDescent="0.25">
      <c r="B31" s="18"/>
      <c r="C31" s="18"/>
      <c r="D31" s="18"/>
      <c r="E31" s="18"/>
      <c r="F31" s="18"/>
    </row>
    <row r="32" spans="1:8" x14ac:dyDescent="0.25">
      <c r="A32" t="s">
        <v>21</v>
      </c>
      <c r="B32" s="18"/>
      <c r="C32" s="18"/>
      <c r="D32" s="18"/>
      <c r="E32" s="18"/>
      <c r="F32" s="18"/>
    </row>
    <row r="33" spans="1:6" x14ac:dyDescent="0.25">
      <c r="A33" t="s">
        <v>93</v>
      </c>
      <c r="B33" s="16">
        <f>B17/B28</f>
        <v>625346223.02158272</v>
      </c>
      <c r="C33" s="16">
        <f>C17/C28</f>
        <v>480172661.8705036</v>
      </c>
      <c r="D33" s="16">
        <f>D17/D28</f>
        <v>53004496.402877703</v>
      </c>
      <c r="E33" s="16">
        <f>E17/E28</f>
        <v>92169064.748201445</v>
      </c>
      <c r="F33" s="16">
        <f>F17/F28</f>
        <v>0</v>
      </c>
    </row>
    <row r="34" spans="1:6" x14ac:dyDescent="0.25">
      <c r="A34" t="s">
        <v>94</v>
      </c>
      <c r="B34" s="16">
        <f>B19/B29</f>
        <v>418813793.10344827</v>
      </c>
      <c r="C34" s="16">
        <f>C19/C29</f>
        <v>213517241.37931034</v>
      </c>
      <c r="D34" s="16">
        <f>D19/D29</f>
        <v>31448275.862068966</v>
      </c>
      <c r="E34" s="16">
        <f>E19/E29</f>
        <v>16496551.724137932</v>
      </c>
      <c r="F34" s="16">
        <f>F19/F29</f>
        <v>157351724.13793105</v>
      </c>
    </row>
    <row r="35" spans="1:6" x14ac:dyDescent="0.25">
      <c r="A35" t="s">
        <v>95</v>
      </c>
      <c r="B35" s="16">
        <f>B33/B10</f>
        <v>226246.82453747565</v>
      </c>
      <c r="C35" s="16">
        <f>C33/C10</f>
        <v>228002.21361372439</v>
      </c>
      <c r="D35" s="16">
        <f>D33/D10</f>
        <v>203082.36169684943</v>
      </c>
      <c r="E35" s="16">
        <f>E33/E10</f>
        <v>232163.89105340414</v>
      </c>
      <c r="F35" s="16" t="e">
        <f>F33/F10</f>
        <v>#DIV/0!</v>
      </c>
    </row>
    <row r="36" spans="1:6" x14ac:dyDescent="0.25">
      <c r="A36" t="s">
        <v>96</v>
      </c>
      <c r="B36" s="16">
        <f>B34/B12</f>
        <v>228112.08774697618</v>
      </c>
      <c r="C36" s="16">
        <f>C34/C12</f>
        <v>185505.85697594297</v>
      </c>
      <c r="D36" s="16">
        <f>D34/D12</f>
        <v>234688.62583633556</v>
      </c>
      <c r="E36" s="16">
        <f>E34/E12</f>
        <v>196387.52052545157</v>
      </c>
      <c r="F36" s="16">
        <f>F34/F12</f>
        <v>336941.59344310715</v>
      </c>
    </row>
    <row r="38" spans="1:6" x14ac:dyDescent="0.25">
      <c r="A38" s="2" t="s">
        <v>26</v>
      </c>
    </row>
    <row r="40" spans="1:6" x14ac:dyDescent="0.25">
      <c r="A40" t="s">
        <v>27</v>
      </c>
    </row>
    <row r="41" spans="1:6" x14ac:dyDescent="0.25">
      <c r="A41" t="s">
        <v>28</v>
      </c>
      <c r="B41" s="9">
        <f>B11/B30*100</f>
        <v>3.5622058992310341</v>
      </c>
      <c r="C41" s="9">
        <f>C11/C30*100</f>
        <v>0.93251463330655349</v>
      </c>
      <c r="D41" s="9">
        <f>D11/D30*100</f>
        <v>0.19367611614828417</v>
      </c>
      <c r="E41" s="9">
        <f>E11/E30*100</f>
        <v>0.19367611614828417</v>
      </c>
      <c r="F41" s="9">
        <f>F11/F30*100</f>
        <v>2.2423390336279123</v>
      </c>
    </row>
    <row r="42" spans="1:6" x14ac:dyDescent="0.25">
      <c r="A42" t="s">
        <v>29</v>
      </c>
      <c r="B42" s="9">
        <f>B12/B30*100</f>
        <v>2.6339951796166647</v>
      </c>
      <c r="C42" s="9">
        <f>C12/C30*100</f>
        <v>1.6512682199012969</v>
      </c>
      <c r="D42" s="9">
        <f>D12/D30*100</f>
        <v>0.19224147825088947</v>
      </c>
      <c r="E42" s="9">
        <f>E12/E30*100</f>
        <v>0.12050958338115461</v>
      </c>
      <c r="F42" s="9">
        <f>F12/F30*100</f>
        <v>0.66997589808332381</v>
      </c>
    </row>
    <row r="44" spans="1:6" x14ac:dyDescent="0.25">
      <c r="A44" t="s">
        <v>30</v>
      </c>
    </row>
    <row r="45" spans="1:6" x14ac:dyDescent="0.25">
      <c r="A45" t="s">
        <v>31</v>
      </c>
      <c r="B45" s="9">
        <f>B12/B11*100</f>
        <v>73.942811115585982</v>
      </c>
      <c r="C45" s="9">
        <f>C12/C11*100</f>
        <v>177.07692307692309</v>
      </c>
      <c r="D45" s="9">
        <f>D12/D11*100</f>
        <v>99.259259259259252</v>
      </c>
      <c r="E45" s="9">
        <f>E12/E11*100</f>
        <v>62.222222222222221</v>
      </c>
      <c r="F45" s="9">
        <f>F12/F11*100</f>
        <v>29.878438899552144</v>
      </c>
    </row>
    <row r="46" spans="1:6" x14ac:dyDescent="0.25">
      <c r="A46" t="s">
        <v>32</v>
      </c>
      <c r="B46" s="9">
        <f>B19/B18*100</f>
        <v>52.25082599118943</v>
      </c>
      <c r="C46" s="9">
        <f>C19/C18*100</f>
        <v>99.485861182519272</v>
      </c>
      <c r="D46" s="9">
        <f>D19/D18*100</f>
        <v>90.476190476190482</v>
      </c>
      <c r="E46" s="9">
        <f>E19/E18*100</f>
        <v>47.460317460317455</v>
      </c>
      <c r="F46" s="9">
        <f>F19/F18*100</f>
        <v>30.411601620814672</v>
      </c>
    </row>
    <row r="47" spans="1:6" x14ac:dyDescent="0.25">
      <c r="A47" t="s">
        <v>33</v>
      </c>
      <c r="B47" s="11">
        <f>AVERAGE(B45:B46)</f>
        <v>63.096818553387706</v>
      </c>
      <c r="C47" s="11">
        <f>AVERAGE(C45:C46)</f>
        <v>138.28139212972118</v>
      </c>
      <c r="D47" s="11">
        <f>AVERAGE(D45:D46)</f>
        <v>94.86772486772486</v>
      </c>
      <c r="E47" s="11">
        <f>AVERAGE(E45:E46)</f>
        <v>54.841269841269835</v>
      </c>
      <c r="F47" s="11">
        <f>AVERAGE(F45:F46)</f>
        <v>30.145020260183408</v>
      </c>
    </row>
    <row r="48" spans="1:6" x14ac:dyDescent="0.25">
      <c r="B48" s="11"/>
      <c r="C48" s="11"/>
      <c r="D48" s="11"/>
      <c r="E48" s="11"/>
    </row>
    <row r="49" spans="1:6" x14ac:dyDescent="0.25">
      <c r="A49" t="s">
        <v>34</v>
      </c>
      <c r="B49" s="18"/>
      <c r="C49" s="18"/>
      <c r="D49" s="18"/>
      <c r="E49" s="18"/>
    </row>
    <row r="50" spans="1:6" x14ac:dyDescent="0.25">
      <c r="A50" t="s">
        <v>35</v>
      </c>
      <c r="B50" s="11">
        <f>B12/B14*100</f>
        <v>58.752000000000002</v>
      </c>
      <c r="C50" s="11">
        <f>C12/C14*100</f>
        <v>105.21023765996344</v>
      </c>
      <c r="D50" s="11">
        <f>D12/D14*100</f>
        <v>57.26495726495726</v>
      </c>
      <c r="E50" s="11">
        <f>E12/E14*100</f>
        <v>35.897435897435898</v>
      </c>
      <c r="F50" s="11">
        <f>F12/F14*100</f>
        <v>29.878438899552144</v>
      </c>
    </row>
    <row r="51" spans="1:6" x14ac:dyDescent="0.25">
      <c r="A51" t="s">
        <v>36</v>
      </c>
      <c r="B51" s="11">
        <f>B19/B20*100</f>
        <v>40.485333333333337</v>
      </c>
      <c r="C51" s="11">
        <f>C19/C20*100</f>
        <v>58.957952468007313</v>
      </c>
      <c r="D51" s="11">
        <f>D19/D20*100</f>
        <v>40.598290598290596</v>
      </c>
      <c r="E51" s="11">
        <f>E19/E20*100</f>
        <v>21.296296296296298</v>
      </c>
      <c r="F51" s="11">
        <f>F19/F20*100</f>
        <v>30.411601620814672</v>
      </c>
    </row>
    <row r="52" spans="1:6" x14ac:dyDescent="0.25">
      <c r="A52" t="s">
        <v>37</v>
      </c>
      <c r="B52" s="11">
        <f>(B50+B51)/2</f>
        <v>49.61866666666667</v>
      </c>
      <c r="C52" s="11">
        <f>(C50+C51)/2</f>
        <v>82.084095063985373</v>
      </c>
      <c r="D52" s="11">
        <f>(D50+D51)/2</f>
        <v>48.931623931623932</v>
      </c>
      <c r="E52" s="11">
        <f>(E50+E51)/2</f>
        <v>28.596866096866098</v>
      </c>
      <c r="F52" s="11">
        <f>(F50+F51)/2</f>
        <v>30.145020260183408</v>
      </c>
    </row>
    <row r="53" spans="1:6" x14ac:dyDescent="0.25">
      <c r="B53" s="18"/>
      <c r="C53" s="18"/>
      <c r="D53" s="18"/>
      <c r="E53" s="18"/>
    </row>
    <row r="54" spans="1:6" x14ac:dyDescent="0.25">
      <c r="A54" t="s">
        <v>38</v>
      </c>
      <c r="B54" s="11">
        <f>B21/B19*100</f>
        <v>100</v>
      </c>
      <c r="C54" s="11">
        <f>C21/C19*100</f>
        <v>100</v>
      </c>
      <c r="D54" s="11">
        <f>D21/D19*100</f>
        <v>100</v>
      </c>
      <c r="E54" s="11">
        <f>E21/E19*100</f>
        <v>100</v>
      </c>
      <c r="F54" s="11">
        <f>F21/F19*100</f>
        <v>100</v>
      </c>
    </row>
    <row r="55" spans="1:6" x14ac:dyDescent="0.25">
      <c r="B55" s="18"/>
      <c r="C55" s="18"/>
      <c r="D55" s="18"/>
      <c r="E55" s="18"/>
    </row>
    <row r="56" spans="1:6" x14ac:dyDescent="0.25">
      <c r="A56" t="s">
        <v>39</v>
      </c>
      <c r="B56" s="18"/>
      <c r="C56" s="18"/>
      <c r="D56" s="18"/>
      <c r="E56" s="18"/>
    </row>
    <row r="57" spans="1:6" x14ac:dyDescent="0.25">
      <c r="A57" t="s">
        <v>40</v>
      </c>
      <c r="B57" s="11">
        <f>((B12/B10)-1)*100</f>
        <v>-33.574529667149058</v>
      </c>
      <c r="C57" s="11">
        <f>((C12/C10)-1)*100</f>
        <v>-45.346628679962009</v>
      </c>
      <c r="D57" s="11">
        <f>((D12/D10)-1)*100</f>
        <v>-48.659003831417621</v>
      </c>
      <c r="E57" s="11">
        <f>((E12/E10)-1)*100</f>
        <v>-78.841309823677591</v>
      </c>
      <c r="F57" s="11" t="e">
        <f>((F12/F10)-1)*100</f>
        <v>#DIV/0!</v>
      </c>
    </row>
    <row r="58" spans="1:6" x14ac:dyDescent="0.25">
      <c r="A58" t="s">
        <v>42</v>
      </c>
      <c r="B58" s="11">
        <f>((B34/B33)-1)*100</f>
        <v>-33.026893313627056</v>
      </c>
      <c r="C58" s="11">
        <f>((C34/C33)-1)*100</f>
        <v>-55.533236617936986</v>
      </c>
      <c r="D58" s="11">
        <f>((D34/D33)-1)*100</f>
        <v>-40.668663988360073</v>
      </c>
      <c r="E58" s="11">
        <f>((E34/E33)-1)*100</f>
        <v>-82.10185622561626</v>
      </c>
      <c r="F58" s="11" t="e">
        <f>((F34/F33)-1)*100</f>
        <v>#DIV/0!</v>
      </c>
    </row>
    <row r="59" spans="1:6" x14ac:dyDescent="0.25">
      <c r="A59" t="s">
        <v>43</v>
      </c>
      <c r="B59" s="11">
        <f>((B36/B35)-1)*100</f>
        <v>0.82443729909302821</v>
      </c>
      <c r="C59" s="11">
        <f>((C36/C35)-1)*100</f>
        <v>-18.638571952541515</v>
      </c>
      <c r="D59" s="11">
        <f>((D36/D35)-1)*100</f>
        <v>15.563273873418048</v>
      </c>
      <c r="E59" s="11">
        <f>((E36/E35)-1)*100</f>
        <v>-15.409963352019718</v>
      </c>
      <c r="F59" s="11" t="e">
        <f>((F36/F35)-1)*100</f>
        <v>#DIV/0!</v>
      </c>
    </row>
    <row r="60" spans="1:6" x14ac:dyDescent="0.25">
      <c r="B60" s="11"/>
      <c r="C60" s="11"/>
      <c r="D60" s="11"/>
      <c r="E60" s="11"/>
    </row>
    <row r="61" spans="1:6" x14ac:dyDescent="0.25">
      <c r="A61" t="s">
        <v>44</v>
      </c>
      <c r="B61" s="18"/>
      <c r="C61" s="18"/>
      <c r="D61" s="18"/>
      <c r="E61" s="18"/>
    </row>
    <row r="62" spans="1:6" x14ac:dyDescent="0.25">
      <c r="A62" t="s">
        <v>124</v>
      </c>
      <c r="B62" s="16">
        <f t="shared" ref="B62:F63" si="0">B18/(B11*6)</f>
        <v>78013.156128339368</v>
      </c>
      <c r="C62" s="16">
        <f t="shared" si="0"/>
        <v>79794.871794871797</v>
      </c>
      <c r="D62" s="16">
        <f t="shared" si="0"/>
        <v>62222.222222222219</v>
      </c>
      <c r="E62" s="16">
        <f t="shared" si="0"/>
        <v>62222.222222222219</v>
      </c>
      <c r="F62" s="16">
        <f t="shared" si="0"/>
        <v>80000</v>
      </c>
    </row>
    <row r="63" spans="1:6" x14ac:dyDescent="0.25">
      <c r="A63" s="18" t="s">
        <v>125</v>
      </c>
      <c r="B63" s="16">
        <f t="shared" si="0"/>
        <v>55127.087872185912</v>
      </c>
      <c r="C63" s="16">
        <f t="shared" si="0"/>
        <v>44830.582102519547</v>
      </c>
      <c r="D63" s="16">
        <f t="shared" si="0"/>
        <v>56716.417910447759</v>
      </c>
      <c r="E63" s="16">
        <f t="shared" si="0"/>
        <v>47460.317460317463</v>
      </c>
      <c r="F63" s="16">
        <f t="shared" si="0"/>
        <v>81427.551748750891</v>
      </c>
    </row>
    <row r="64" spans="1:6" x14ac:dyDescent="0.25">
      <c r="A64" s="18" t="s">
        <v>111</v>
      </c>
      <c r="B64" s="16">
        <f>B19/B13</f>
        <v>158600.15669887699</v>
      </c>
      <c r="C64" s="16">
        <f>C19/C13</f>
        <v>160000</v>
      </c>
      <c r="D64" s="16">
        <f>D19/D13</f>
        <v>154576.27118644069</v>
      </c>
      <c r="E64" s="16">
        <f>E19/E13</f>
        <v>138265.89595375722</v>
      </c>
      <c r="F64" s="16">
        <f>F19/F13</f>
        <v>160000</v>
      </c>
    </row>
    <row r="65" spans="1:7" x14ac:dyDescent="0.25">
      <c r="A65" t="s">
        <v>45</v>
      </c>
      <c r="B65" s="11">
        <f>(B62/B63)*B47</f>
        <v>89.291528847300086</v>
      </c>
      <c r="C65" s="11">
        <f>(C62/C63)*C47</f>
        <v>246.12988364448117</v>
      </c>
      <c r="D65" s="11">
        <f>(D62/D63)*D47</f>
        <v>104.07710634611219</v>
      </c>
      <c r="E65" s="11">
        <f>(E62/E63)*E47</f>
        <v>71.898922333704917</v>
      </c>
      <c r="F65" s="11">
        <f>(F62/F63)*F47</f>
        <v>29.616531125187205</v>
      </c>
    </row>
    <row r="66" spans="1:7" x14ac:dyDescent="0.25">
      <c r="A66" t="s">
        <v>126</v>
      </c>
      <c r="B66" s="16">
        <f t="shared" ref="B66:F67" si="1">B18/B11</f>
        <v>468078.93677003623</v>
      </c>
      <c r="C66" s="16">
        <f t="shared" si="1"/>
        <v>478769.23076923075</v>
      </c>
      <c r="D66" s="16">
        <f t="shared" si="1"/>
        <v>373333.33333333331</v>
      </c>
      <c r="E66" s="16">
        <f t="shared" si="1"/>
        <v>373333.33333333331</v>
      </c>
      <c r="F66" s="16">
        <f t="shared" si="1"/>
        <v>480000</v>
      </c>
    </row>
    <row r="67" spans="1:7" x14ac:dyDescent="0.25">
      <c r="A67" t="s">
        <v>127</v>
      </c>
      <c r="B67" s="16">
        <f t="shared" si="1"/>
        <v>330762.52723311546</v>
      </c>
      <c r="C67" s="16">
        <f t="shared" si="1"/>
        <v>268983.49261511728</v>
      </c>
      <c r="D67" s="16">
        <f t="shared" si="1"/>
        <v>340298.50746268657</v>
      </c>
      <c r="E67" s="16">
        <f t="shared" si="1"/>
        <v>284761.90476190473</v>
      </c>
      <c r="F67" s="16">
        <f t="shared" si="1"/>
        <v>488565.31049250538</v>
      </c>
    </row>
    <row r="68" spans="1:7" x14ac:dyDescent="0.25">
      <c r="B68" s="11"/>
      <c r="C68" s="11"/>
      <c r="D68" s="11"/>
      <c r="E68" s="11"/>
    </row>
    <row r="69" spans="1:7" x14ac:dyDescent="0.25">
      <c r="A69" t="s">
        <v>46</v>
      </c>
      <c r="B69" s="11"/>
      <c r="C69" s="11"/>
      <c r="D69" s="11"/>
      <c r="E69" s="11"/>
    </row>
    <row r="70" spans="1:7" x14ac:dyDescent="0.25">
      <c r="A70" t="s">
        <v>47</v>
      </c>
      <c r="B70" s="11">
        <f>(B25/B24)*100</f>
        <v>22.177863436123349</v>
      </c>
      <c r="C70" s="11"/>
      <c r="D70" s="11"/>
      <c r="E70" s="11"/>
      <c r="G70" s="7"/>
    </row>
    <row r="71" spans="1:7" x14ac:dyDescent="0.25">
      <c r="A71" t="s">
        <v>48</v>
      </c>
      <c r="B71" s="11">
        <f>(B19/B25)*100</f>
        <v>235.59900682805713</v>
      </c>
      <c r="C71" s="11"/>
      <c r="D71" s="11"/>
      <c r="E71" s="11"/>
      <c r="G71" s="7"/>
    </row>
    <row r="72" spans="1:7" ht="15.75" thickBot="1" x14ac:dyDescent="0.3">
      <c r="A72" s="12"/>
      <c r="B72" s="12"/>
      <c r="C72" s="12"/>
      <c r="D72" s="12"/>
      <c r="E72" s="12"/>
      <c r="F72" s="12"/>
    </row>
    <row r="73" spans="1:7" ht="15.75" thickTop="1" x14ac:dyDescent="0.25"/>
    <row r="74" spans="1:7" x14ac:dyDescent="0.25">
      <c r="A74" s="14" t="s">
        <v>61</v>
      </c>
    </row>
    <row r="75" spans="1:7" x14ac:dyDescent="0.25">
      <c r="A75" t="s">
        <v>112</v>
      </c>
    </row>
    <row r="76" spans="1:7" x14ac:dyDescent="0.25">
      <c r="A76" t="s">
        <v>114</v>
      </c>
      <c r="B76" s="13"/>
      <c r="C76" s="13"/>
      <c r="D76" s="13"/>
    </row>
    <row r="77" spans="1:7" x14ac:dyDescent="0.25">
      <c r="A77" t="s">
        <v>113</v>
      </c>
    </row>
    <row r="78" spans="1:7" x14ac:dyDescent="0.25">
      <c r="A78" t="s">
        <v>118</v>
      </c>
    </row>
    <row r="80" spans="1:7" x14ac:dyDescent="0.25">
      <c r="A80" t="s">
        <v>115</v>
      </c>
    </row>
    <row r="81" spans="1:1" x14ac:dyDescent="0.25">
      <c r="A81" s="25" t="s">
        <v>116</v>
      </c>
    </row>
    <row r="82" spans="1:1" x14ac:dyDescent="0.25">
      <c r="A82" s="25" t="s">
        <v>117</v>
      </c>
    </row>
    <row r="83" spans="1:1" x14ac:dyDescent="0.25">
      <c r="A83" s="25" t="s">
        <v>119</v>
      </c>
    </row>
    <row r="84" spans="1:1" x14ac:dyDescent="0.25">
      <c r="A84" s="25" t="s">
        <v>120</v>
      </c>
    </row>
    <row r="85" spans="1:1" x14ac:dyDescent="0.25">
      <c r="A85" s="27" t="s">
        <v>121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5"/>
  <sheetViews>
    <sheetView topLeftCell="A94" workbookViewId="0">
      <selection activeCell="H73" sqref="H73"/>
    </sheetView>
  </sheetViews>
  <sheetFormatPr baseColWidth="10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</cols>
  <sheetData>
    <row r="2" spans="1:6" ht="15.75" x14ac:dyDescent="0.25">
      <c r="A2" s="53" t="s">
        <v>97</v>
      </c>
      <c r="B2" s="53"/>
      <c r="C2" s="53"/>
      <c r="D2" s="53"/>
      <c r="E2" s="53"/>
      <c r="F2" s="53"/>
    </row>
    <row r="4" spans="1:6" x14ac:dyDescent="0.25">
      <c r="A4" s="48" t="s">
        <v>1</v>
      </c>
      <c r="B4" s="50" t="s">
        <v>2</v>
      </c>
      <c r="C4" s="52" t="s">
        <v>3</v>
      </c>
      <c r="D4" s="52"/>
      <c r="E4" s="52"/>
      <c r="F4" s="52"/>
    </row>
    <row r="5" spans="1:6" ht="15.75" thickBot="1" x14ac:dyDescent="0.3">
      <c r="A5" s="49"/>
      <c r="B5" s="51"/>
      <c r="C5" s="1" t="s">
        <v>4</v>
      </c>
      <c r="D5" s="1" t="s">
        <v>5</v>
      </c>
      <c r="E5" s="1" t="s">
        <v>6</v>
      </c>
      <c r="F5" s="1" t="s">
        <v>7</v>
      </c>
    </row>
    <row r="6" spans="1:6" ht="15.75" thickTop="1" x14ac:dyDescent="0.25"/>
    <row r="7" spans="1:6" x14ac:dyDescent="0.25">
      <c r="A7" s="2" t="s">
        <v>8</v>
      </c>
    </row>
    <row r="9" spans="1:6" x14ac:dyDescent="0.25">
      <c r="A9" t="s">
        <v>9</v>
      </c>
    </row>
    <row r="10" spans="1:6" x14ac:dyDescent="0.25">
      <c r="A10" s="3" t="s">
        <v>63</v>
      </c>
      <c r="B10" s="4">
        <f>SUM(C10:F10)</f>
        <v>3468</v>
      </c>
      <c r="C10" s="4">
        <f>+'I trimestre'!C10+'II Trimestre'!C10+'III Trimestre'!C10</f>
        <v>2632</v>
      </c>
      <c r="D10" s="4">
        <f>+'I trimestre'!D10+'II Trimestre'!D10+'III Trimestre'!D10</f>
        <v>298</v>
      </c>
      <c r="E10" s="4">
        <f>+'I trimestre'!E10+'II Trimestre'!E10+'III Trimestre'!E10</f>
        <v>538</v>
      </c>
      <c r="F10" s="4">
        <f>+'I trimestre'!F10+'II Trimestre'!F10+'III Trimestre'!F10</f>
        <v>0</v>
      </c>
    </row>
    <row r="11" spans="1:6" x14ac:dyDescent="0.25">
      <c r="A11" s="3" t="s">
        <v>64</v>
      </c>
      <c r="B11" s="4">
        <f>SUM(C11:F11)</f>
        <v>4149</v>
      </c>
      <c r="C11" s="4">
        <f>+'I trimestre'!C11+'II Trimestre'!C11+'III Trimestre'!C11</f>
        <v>1870</v>
      </c>
      <c r="D11" s="4">
        <f>+'I trimestre'!D11+'II Trimestre'!D11+'III Trimestre'!D11</f>
        <v>358</v>
      </c>
      <c r="E11" s="4">
        <f>+'I trimestre'!E11+'II Trimestre'!E11+'III Trimestre'!E11</f>
        <v>358</v>
      </c>
      <c r="F11" s="4">
        <f>+'I trimestre'!F11+'II Trimestre'!F11+'III Trimestre'!F11</f>
        <v>1563</v>
      </c>
    </row>
    <row r="12" spans="1:6" x14ac:dyDescent="0.25">
      <c r="A12" s="3" t="s">
        <v>65</v>
      </c>
      <c r="B12" s="4">
        <f>SUM(C12:F12)</f>
        <v>3565</v>
      </c>
      <c r="C12" s="4">
        <f>+'I trimestre'!C12+'II Trimestre'!C12+'III Trimestre'!C12</f>
        <v>2545</v>
      </c>
      <c r="D12" s="4">
        <f>+'I trimestre'!D12+'II Trimestre'!D12+'III Trimestre'!D12</f>
        <v>243</v>
      </c>
      <c r="E12" s="4">
        <f>+'I trimestre'!E12+'II Trimestre'!E12+'III Trimestre'!E12</f>
        <v>308</v>
      </c>
      <c r="F12" s="4">
        <f>+'I trimestre'!F12+'II Trimestre'!F12+'III Trimestre'!F12</f>
        <v>469</v>
      </c>
    </row>
    <row r="13" spans="1:6" x14ac:dyDescent="0.25">
      <c r="A13" s="20" t="s">
        <v>110</v>
      </c>
      <c r="B13" s="4">
        <f>SUM(C13:F13)</f>
        <v>9680</v>
      </c>
      <c r="C13" s="4">
        <f>+'I trimestre'!C13+'II Trimestre'!C13+'III Trimestre'!C13</f>
        <v>6736</v>
      </c>
      <c r="D13" s="4">
        <f>+'I trimestre'!D13+'II Trimestre'!D13+'III Trimestre'!D13</f>
        <v>674</v>
      </c>
      <c r="E13" s="4">
        <f>+'I trimestre'!E13+'II Trimestre'!E13+'III Trimestre'!E13</f>
        <v>713</v>
      </c>
      <c r="F13" s="4">
        <f>+'I trimestre'!F13+'II Trimestre'!F13+'III Trimestre'!F13</f>
        <v>1557</v>
      </c>
    </row>
    <row r="14" spans="1:6" x14ac:dyDescent="0.25">
      <c r="A14" s="3" t="s">
        <v>13</v>
      </c>
      <c r="B14" s="4">
        <f>SUM(C14:F14)</f>
        <v>5212</v>
      </c>
      <c r="C14" s="4">
        <f>'III Trimestre'!C14</f>
        <v>2659</v>
      </c>
      <c r="D14" s="4">
        <f>'III Trimestre'!D14</f>
        <v>495</v>
      </c>
      <c r="E14" s="4">
        <f>'III Trimestre'!E14</f>
        <v>495</v>
      </c>
      <c r="F14" s="4">
        <f>'III Trimestre'!F14</f>
        <v>1563</v>
      </c>
    </row>
    <row r="16" spans="1:6" x14ac:dyDescent="0.25">
      <c r="A16" s="5" t="s">
        <v>14</v>
      </c>
    </row>
    <row r="17" spans="1:8" x14ac:dyDescent="0.25">
      <c r="A17" s="3" t="s">
        <v>66</v>
      </c>
      <c r="B17" s="4">
        <f>SUM(C17:F17)</f>
        <v>1455873750</v>
      </c>
      <c r="C17" s="16">
        <f>+'I trimestre'!C17+'II Trimestre'!C17+'III Trimestre'!C17</f>
        <v>1120770000</v>
      </c>
      <c r="D17" s="16">
        <f>+'I trimestre'!D17+'II Trimestre'!D17+'III Trimestre'!D17</f>
        <v>128958750</v>
      </c>
      <c r="E17" s="16">
        <f>+'I trimestre'!E17+'II Trimestre'!E17+'III Trimestre'!E17</f>
        <v>206145000</v>
      </c>
      <c r="F17" s="21">
        <f>+'I trimestre'!F17+'II Trimestre'!F17+'III Trimestre'!F17</f>
        <v>0</v>
      </c>
    </row>
    <row r="18" spans="1:8" x14ac:dyDescent="0.25">
      <c r="A18" s="3" t="s">
        <v>64</v>
      </c>
      <c r="B18" s="4">
        <f>SUM(C18:F18)</f>
        <v>1931840000</v>
      </c>
      <c r="C18" s="16">
        <f>+'I trimestre'!C18+'II Trimestre'!C18+'III Trimestre'!C18</f>
        <v>872800000</v>
      </c>
      <c r="D18" s="16">
        <f>+'I trimestre'!D18+'II Trimestre'!D18+'III Trimestre'!D18</f>
        <v>154400000</v>
      </c>
      <c r="E18" s="16">
        <f>+'I trimestre'!E18+'II Trimestre'!E18+'III Trimestre'!E18</f>
        <v>154400000</v>
      </c>
      <c r="F18" s="22">
        <f>+'I trimestre'!F18+'II Trimestre'!F18+'III Trimestre'!F18</f>
        <v>750240000</v>
      </c>
      <c r="H18" s="16"/>
    </row>
    <row r="19" spans="1:8" x14ac:dyDescent="0.25">
      <c r="A19" s="3" t="s">
        <v>65</v>
      </c>
      <c r="B19" s="4">
        <f>SUM(C19:F19)</f>
        <v>1530480000</v>
      </c>
      <c r="C19" s="16">
        <f>+'I trimestre'!C19+'II Trimestre'!C19+'III Trimestre'!C19</f>
        <v>1077760000</v>
      </c>
      <c r="D19" s="16">
        <f>+'I trimestre'!D19+'II Trimestre'!D19+'III Trimestre'!D19</f>
        <v>100640000</v>
      </c>
      <c r="E19" s="16">
        <f>+'I trimestre'!E19+'II Trimestre'!E19+'III Trimestre'!E19</f>
        <v>102960000</v>
      </c>
      <c r="F19" s="22">
        <f>+'I trimestre'!F19+'II Trimestre'!F19+'III Trimestre'!F19</f>
        <v>249120000</v>
      </c>
      <c r="H19" s="16"/>
    </row>
    <row r="20" spans="1:8" x14ac:dyDescent="0.25">
      <c r="A20" s="3" t="s">
        <v>13</v>
      </c>
      <c r="B20" s="4">
        <f>SUM(C20:F20)</f>
        <v>1999960000</v>
      </c>
      <c r="C20" s="4">
        <f>'III Trimestre'!C20</f>
        <v>1275160000</v>
      </c>
      <c r="D20" s="4">
        <f>'III Trimestre'!D20</f>
        <v>237440000</v>
      </c>
      <c r="E20" s="4">
        <f>'III Trimestre'!E20</f>
        <v>237440000</v>
      </c>
      <c r="F20" s="16">
        <f>'III Trimestre'!F20</f>
        <v>249920000</v>
      </c>
      <c r="H20" s="16"/>
    </row>
    <row r="21" spans="1:8" x14ac:dyDescent="0.25">
      <c r="A21" s="3" t="s">
        <v>67</v>
      </c>
      <c r="B21" s="4">
        <f>SUM(C21:F21)</f>
        <v>1530480000</v>
      </c>
      <c r="C21" s="4">
        <f>C19</f>
        <v>1077760000</v>
      </c>
      <c r="D21" s="4">
        <f>D19</f>
        <v>100640000</v>
      </c>
      <c r="E21" s="4">
        <f>E19</f>
        <v>102960000</v>
      </c>
      <c r="F21" s="4">
        <f>F19</f>
        <v>249120000</v>
      </c>
      <c r="H21" s="16"/>
    </row>
    <row r="22" spans="1:8" x14ac:dyDescent="0.25">
      <c r="B22" s="4"/>
      <c r="C22" s="4"/>
      <c r="D22" s="4"/>
      <c r="E22" s="4"/>
      <c r="F22" s="15"/>
      <c r="H22" s="16"/>
    </row>
    <row r="23" spans="1:8" x14ac:dyDescent="0.25">
      <c r="A23" t="s">
        <v>16</v>
      </c>
      <c r="B23" s="16"/>
      <c r="C23" s="16"/>
      <c r="D23" s="16"/>
      <c r="E23" s="16"/>
      <c r="F23" s="17"/>
      <c r="H23" s="16"/>
    </row>
    <row r="24" spans="1:8" x14ac:dyDescent="0.25">
      <c r="A24" s="6" t="s">
        <v>64</v>
      </c>
      <c r="B24" s="16">
        <f>B18</f>
        <v>1931840000</v>
      </c>
      <c r="C24" s="16">
        <f>C18</f>
        <v>872800000</v>
      </c>
      <c r="D24" s="16">
        <f>D18</f>
        <v>154400000</v>
      </c>
      <c r="E24" s="16">
        <f>E18</f>
        <v>154400000</v>
      </c>
      <c r="F24" s="16">
        <f>F18</f>
        <v>750240000</v>
      </c>
      <c r="G24" s="7"/>
      <c r="H24" s="16"/>
    </row>
    <row r="25" spans="1:8" x14ac:dyDescent="0.25">
      <c r="A25" s="6" t="s">
        <v>65</v>
      </c>
      <c r="B25" s="16">
        <f>+'I trimestre'!B25+'II Trimestre'!B25+'III Trimestre'!B25</f>
        <v>881560000</v>
      </c>
      <c r="C25" s="16"/>
      <c r="D25" s="16"/>
      <c r="E25" s="16"/>
      <c r="F25" s="17"/>
      <c r="G25" s="7"/>
      <c r="H25" s="16"/>
    </row>
    <row r="26" spans="1:8" x14ac:dyDescent="0.25">
      <c r="B26" s="18"/>
      <c r="C26" s="18"/>
      <c r="D26" s="18"/>
      <c r="E26" s="18"/>
      <c r="F26" s="18"/>
      <c r="H26" s="16"/>
    </row>
    <row r="27" spans="1:8" x14ac:dyDescent="0.25">
      <c r="A27" t="s">
        <v>17</v>
      </c>
      <c r="B27" s="18"/>
      <c r="C27" s="18"/>
      <c r="D27" s="18"/>
      <c r="E27" s="18"/>
      <c r="F27" s="18"/>
      <c r="H27" s="18"/>
    </row>
    <row r="28" spans="1:8" x14ac:dyDescent="0.25">
      <c r="A28" t="s">
        <v>68</v>
      </c>
      <c r="B28" s="19">
        <v>1.39</v>
      </c>
      <c r="C28" s="19">
        <v>1.39</v>
      </c>
      <c r="D28" s="19">
        <v>1.39</v>
      </c>
      <c r="E28" s="19">
        <v>1.39</v>
      </c>
      <c r="F28" s="19">
        <v>1.39</v>
      </c>
    </row>
    <row r="29" spans="1:8" x14ac:dyDescent="0.25">
      <c r="A29" t="s">
        <v>69</v>
      </c>
      <c r="B29" s="15">
        <v>1.46</v>
      </c>
      <c r="C29" s="15">
        <v>1.46</v>
      </c>
      <c r="D29" s="15">
        <v>1.46</v>
      </c>
      <c r="E29" s="15">
        <v>1.46</v>
      </c>
      <c r="F29" s="15">
        <v>1.46</v>
      </c>
    </row>
    <row r="30" spans="1:8" x14ac:dyDescent="0.25">
      <c r="A30" t="s">
        <v>20</v>
      </c>
      <c r="B30" s="4">
        <v>69704</v>
      </c>
      <c r="C30" s="4">
        <v>69704</v>
      </c>
      <c r="D30" s="4">
        <v>69704</v>
      </c>
      <c r="E30" s="4">
        <v>69704</v>
      </c>
      <c r="F30" s="4">
        <v>69704</v>
      </c>
    </row>
    <row r="31" spans="1:8" x14ac:dyDescent="0.25">
      <c r="B31" s="18"/>
      <c r="C31" s="18"/>
      <c r="D31" s="18"/>
      <c r="E31" s="18"/>
      <c r="F31" s="18"/>
    </row>
    <row r="32" spans="1:8" x14ac:dyDescent="0.25">
      <c r="A32" t="s">
        <v>21</v>
      </c>
      <c r="B32" s="18"/>
      <c r="C32" s="18"/>
      <c r="D32" s="18"/>
      <c r="E32" s="18"/>
      <c r="F32" s="18"/>
    </row>
    <row r="33" spans="1:6" x14ac:dyDescent="0.25">
      <c r="A33" t="s">
        <v>70</v>
      </c>
      <c r="B33" s="16">
        <f>B17/B28</f>
        <v>1047391187.0503598</v>
      </c>
      <c r="C33" s="16">
        <f>C17/C28</f>
        <v>806309352.5179857</v>
      </c>
      <c r="D33" s="16">
        <f>D17/D28</f>
        <v>92776079.136690661</v>
      </c>
      <c r="E33" s="16">
        <f>E17/E28</f>
        <v>148305755.39568347</v>
      </c>
      <c r="F33" s="16">
        <f>F17/F28</f>
        <v>0</v>
      </c>
    </row>
    <row r="34" spans="1:6" x14ac:dyDescent="0.25">
      <c r="A34" t="s">
        <v>71</v>
      </c>
      <c r="B34" s="16">
        <f>B19/B29</f>
        <v>1048273972.6027398</v>
      </c>
      <c r="C34" s="16">
        <f>C19/C29</f>
        <v>738191780.82191777</v>
      </c>
      <c r="D34" s="16">
        <f>D19/D29</f>
        <v>68931506.849315077</v>
      </c>
      <c r="E34" s="16">
        <f>E19/E29</f>
        <v>70520547.94520548</v>
      </c>
      <c r="F34" s="16">
        <f>F19/F29</f>
        <v>170630136.98630136</v>
      </c>
    </row>
    <row r="35" spans="1:6" x14ac:dyDescent="0.25">
      <c r="A35" t="s">
        <v>72</v>
      </c>
      <c r="B35" s="16">
        <f>B33/B10</f>
        <v>302015.91322098032</v>
      </c>
      <c r="C35" s="16">
        <f>C33/C10</f>
        <v>306348.53819072404</v>
      </c>
      <c r="D35" s="16">
        <f>D33/D10</f>
        <v>311329.1246197673</v>
      </c>
      <c r="E35" s="16">
        <f>E33/E10</f>
        <v>275661.2553823113</v>
      </c>
      <c r="F35" s="16" t="e">
        <f>F33/F10</f>
        <v>#DIV/0!</v>
      </c>
    </row>
    <row r="36" spans="1:6" x14ac:dyDescent="0.25">
      <c r="A36" t="s">
        <v>73</v>
      </c>
      <c r="B36" s="16">
        <f>B34/B12</f>
        <v>294045.9951199831</v>
      </c>
      <c r="C36" s="16">
        <f>C34/C12</f>
        <v>290055.70955674571</v>
      </c>
      <c r="D36" s="16">
        <f>D34/D12</f>
        <v>283668.75246631721</v>
      </c>
      <c r="E36" s="16">
        <f>E34/E12</f>
        <v>228962.81800391388</v>
      </c>
      <c r="F36" s="16">
        <f>F34/F12</f>
        <v>363816.92321172997</v>
      </c>
    </row>
    <row r="38" spans="1:6" x14ac:dyDescent="0.25">
      <c r="A38" s="2" t="s">
        <v>26</v>
      </c>
    </row>
    <row r="40" spans="1:6" x14ac:dyDescent="0.25">
      <c r="A40" t="s">
        <v>27</v>
      </c>
    </row>
    <row r="41" spans="1:6" x14ac:dyDescent="0.25">
      <c r="A41" t="s">
        <v>28</v>
      </c>
      <c r="B41" s="9">
        <f>B11/B30*100</f>
        <v>5.9523126362905998</v>
      </c>
      <c r="C41" s="9">
        <f>C11/C30*100</f>
        <v>2.6827728681280845</v>
      </c>
      <c r="D41" s="9">
        <f>D11/D30*100</f>
        <v>0.51360036726730174</v>
      </c>
      <c r="E41" s="9">
        <f>E11/E30*100</f>
        <v>0.51360036726730174</v>
      </c>
      <c r="F41" s="9">
        <f>F11/F30*100</f>
        <v>2.2423390336279123</v>
      </c>
    </row>
    <row r="42" spans="1:6" x14ac:dyDescent="0.25">
      <c r="A42" t="s">
        <v>29</v>
      </c>
      <c r="B42" s="9">
        <f>B12/B30*100</f>
        <v>5.1144841042120968</v>
      </c>
      <c r="C42" s="9">
        <f>C12/C30*100</f>
        <v>3.6511534488695054</v>
      </c>
      <c r="D42" s="9">
        <f>D12/D30*100</f>
        <v>0.34861700906691151</v>
      </c>
      <c r="E42" s="9">
        <f>E12/E30*100</f>
        <v>0.44186847239756682</v>
      </c>
      <c r="F42" s="9">
        <f>F12/F30*100</f>
        <v>0.67284517387811316</v>
      </c>
    </row>
    <row r="44" spans="1:6" x14ac:dyDescent="0.25">
      <c r="A44" t="s">
        <v>30</v>
      </c>
    </row>
    <row r="45" spans="1:6" x14ac:dyDescent="0.25">
      <c r="A45" t="s">
        <v>31</v>
      </c>
      <c r="B45" s="9">
        <f>B12/B11*100</f>
        <v>85.924319113039289</v>
      </c>
      <c r="C45" s="9">
        <f>C12/C11*100</f>
        <v>136.09625668449198</v>
      </c>
      <c r="D45" s="9">
        <f>D12/D11*100</f>
        <v>67.877094972067042</v>
      </c>
      <c r="E45" s="9">
        <f>E12/E11*100</f>
        <v>86.033519553072622</v>
      </c>
      <c r="F45" s="9">
        <f>F12/F11*100</f>
        <v>30.006397952655149</v>
      </c>
    </row>
    <row r="46" spans="1:6" x14ac:dyDescent="0.25">
      <c r="A46" t="s">
        <v>32</v>
      </c>
      <c r="B46" s="9">
        <f>B19/B18*100</f>
        <v>79.22395229418585</v>
      </c>
      <c r="C46" s="9">
        <f>C19/C18*100</f>
        <v>123.48304307974335</v>
      </c>
      <c r="D46" s="9">
        <f>D19/D18*100</f>
        <v>65.181347150259072</v>
      </c>
      <c r="E46" s="9">
        <f>E19/E18*100</f>
        <v>66.683937823834199</v>
      </c>
      <c r="F46" s="9">
        <f>F19/F18*100</f>
        <v>33.205374280230323</v>
      </c>
    </row>
    <row r="47" spans="1:6" x14ac:dyDescent="0.25">
      <c r="A47" t="s">
        <v>33</v>
      </c>
      <c r="B47" s="11">
        <f>AVERAGE(B45:B46)</f>
        <v>82.574135703612569</v>
      </c>
      <c r="C47" s="11">
        <f>AVERAGE(C45:C46)</f>
        <v>129.78964988211766</v>
      </c>
      <c r="D47" s="11">
        <f>AVERAGE(D45:D46)</f>
        <v>66.529221061163057</v>
      </c>
      <c r="E47" s="11">
        <f>AVERAGE(E45:E46)</f>
        <v>76.358728688453411</v>
      </c>
      <c r="F47" s="11">
        <f>AVERAGE(F45:F46)</f>
        <v>31.605886116442736</v>
      </c>
    </row>
    <row r="48" spans="1:6" x14ac:dyDescent="0.25">
      <c r="B48" s="11"/>
      <c r="C48" s="11"/>
      <c r="D48" s="11"/>
      <c r="E48" s="11"/>
    </row>
    <row r="49" spans="1:6" x14ac:dyDescent="0.25">
      <c r="A49" t="s">
        <v>34</v>
      </c>
      <c r="B49" s="18"/>
      <c r="C49" s="18"/>
      <c r="D49" s="18"/>
      <c r="E49" s="18"/>
    </row>
    <row r="50" spans="1:6" x14ac:dyDescent="0.25">
      <c r="A50" t="s">
        <v>35</v>
      </c>
      <c r="B50" s="11">
        <f>B12/B14*100</f>
        <v>68.399846508058332</v>
      </c>
      <c r="C50" s="11">
        <f>C12/C14*100</f>
        <v>95.712673937570514</v>
      </c>
      <c r="D50" s="11">
        <f>D12/D14*100</f>
        <v>49.090909090909093</v>
      </c>
      <c r="E50" s="11">
        <f>E12/E14*100</f>
        <v>62.222222222222221</v>
      </c>
      <c r="F50" s="11">
        <f>F12/F14*100</f>
        <v>30.006397952655149</v>
      </c>
    </row>
    <row r="51" spans="1:6" x14ac:dyDescent="0.25">
      <c r="A51" t="s">
        <v>36</v>
      </c>
      <c r="B51" s="11">
        <f>B19/B20*100</f>
        <v>76.52553051061021</v>
      </c>
      <c r="C51" s="11">
        <f>C19/C20*100</f>
        <v>84.519589698547634</v>
      </c>
      <c r="D51" s="11">
        <f>D19/D20*100</f>
        <v>42.385444743935309</v>
      </c>
      <c r="E51" s="11">
        <f>E19/E20*100</f>
        <v>43.362533692722373</v>
      </c>
      <c r="F51" s="11">
        <f>F19/F20*100</f>
        <v>99.679897567221502</v>
      </c>
    </row>
    <row r="52" spans="1:6" x14ac:dyDescent="0.25">
      <c r="A52" t="s">
        <v>37</v>
      </c>
      <c r="B52" s="11">
        <f>(B50+B51)/2</f>
        <v>72.462688509334271</v>
      </c>
      <c r="C52" s="11">
        <f>(C50+C51)/2</f>
        <v>90.116131818059074</v>
      </c>
      <c r="D52" s="11">
        <f>(D50+D51)/2</f>
        <v>45.738176917422201</v>
      </c>
      <c r="E52" s="11">
        <f>(E50+E51)/2</f>
        <v>52.792377957472297</v>
      </c>
      <c r="F52" s="11">
        <f>(F50+F51)/2</f>
        <v>64.843147759938319</v>
      </c>
    </row>
    <row r="53" spans="1:6" x14ac:dyDescent="0.25">
      <c r="B53" s="18"/>
      <c r="C53" s="18"/>
      <c r="D53" s="18"/>
      <c r="E53" s="18"/>
    </row>
    <row r="54" spans="1:6" x14ac:dyDescent="0.25">
      <c r="A54" t="s">
        <v>38</v>
      </c>
      <c r="B54" s="11">
        <f>B21/B19*100</f>
        <v>100</v>
      </c>
      <c r="C54" s="11">
        <f>C21/C19*100</f>
        <v>100</v>
      </c>
      <c r="D54" s="11">
        <f>D21/D19*100</f>
        <v>100</v>
      </c>
      <c r="E54" s="11">
        <f>E21/E19*100</f>
        <v>100</v>
      </c>
      <c r="F54" s="11">
        <f>F21/F19*100</f>
        <v>100</v>
      </c>
    </row>
    <row r="55" spans="1:6" x14ac:dyDescent="0.25">
      <c r="B55" s="18"/>
      <c r="C55" s="18"/>
      <c r="D55" s="18"/>
      <c r="E55" s="18"/>
    </row>
    <row r="56" spans="1:6" x14ac:dyDescent="0.25">
      <c r="A56" t="s">
        <v>39</v>
      </c>
      <c r="B56" s="18"/>
      <c r="C56" s="18"/>
      <c r="D56" s="18"/>
      <c r="E56" s="18"/>
    </row>
    <row r="57" spans="1:6" x14ac:dyDescent="0.25">
      <c r="A57" t="s">
        <v>40</v>
      </c>
      <c r="B57" s="11">
        <f>((B12/B10)-1)*100</f>
        <v>2.7970011534025341</v>
      </c>
      <c r="C57" s="11">
        <f>((C12/C10)-1)*100</f>
        <v>-3.305471124620063</v>
      </c>
      <c r="D57" s="11">
        <f>((D12/D10)-1)*100</f>
        <v>-18.456375838926174</v>
      </c>
      <c r="E57" s="11">
        <f>((E12/E10)-1)*100</f>
        <v>-42.750929368029745</v>
      </c>
      <c r="F57" s="11" t="e">
        <f>((F12/F10)-1)*100</f>
        <v>#DIV/0!</v>
      </c>
    </row>
    <row r="58" spans="1:6" x14ac:dyDescent="0.25">
      <c r="A58" t="s">
        <v>42</v>
      </c>
      <c r="B58" s="11">
        <f>((B34/B33)-1)*100</f>
        <v>8.4284225730990592E-2</v>
      </c>
      <c r="C58" s="11">
        <f>((C34/C33)-1)*100</f>
        <v>-8.4480691540221855</v>
      </c>
      <c r="D58" s="11">
        <f>((D34/D33)-1)*100</f>
        <v>-25.701207153025329</v>
      </c>
      <c r="E58" s="11">
        <f>((E34/E33)-1)*100</f>
        <v>-52.449216986181767</v>
      </c>
      <c r="F58" s="11" t="e">
        <f>((F34/F33)-1)*100</f>
        <v>#DIV/0!</v>
      </c>
    </row>
    <row r="59" spans="1:6" x14ac:dyDescent="0.25">
      <c r="A59" t="s">
        <v>43</v>
      </c>
      <c r="B59" s="11">
        <f>((B36/B35)-1)*100</f>
        <v>-2.6389066774656245</v>
      </c>
      <c r="C59" s="11">
        <f>((C36/C35)-1)*100</f>
        <v>-5.3183960759867759</v>
      </c>
      <c r="D59" s="11">
        <f>((D36/D35)-1)*100</f>
        <v>-8.884607948977564</v>
      </c>
      <c r="E59" s="11">
        <f>((E36/E35)-1)*100</f>
        <v>-16.940515384953869</v>
      </c>
      <c r="F59" s="11" t="e">
        <f>((F36/F35)-1)*100</f>
        <v>#DIV/0!</v>
      </c>
    </row>
    <row r="60" spans="1:6" x14ac:dyDescent="0.25">
      <c r="B60" s="11"/>
      <c r="C60" s="11"/>
      <c r="D60" s="11"/>
      <c r="E60" s="11"/>
    </row>
    <row r="61" spans="1:6" x14ac:dyDescent="0.25">
      <c r="A61" t="s">
        <v>44</v>
      </c>
      <c r="B61" s="18"/>
      <c r="C61" s="18"/>
      <c r="D61" s="18"/>
      <c r="E61" s="18"/>
    </row>
    <row r="62" spans="1:6" x14ac:dyDescent="0.25">
      <c r="A62" t="s">
        <v>124</v>
      </c>
      <c r="B62" s="16">
        <f t="shared" ref="B62:F63" si="0">B18/(B11*9)</f>
        <v>51735.090115422725</v>
      </c>
      <c r="C62" s="16">
        <f t="shared" si="0"/>
        <v>51859.774212715391</v>
      </c>
      <c r="D62" s="16">
        <f t="shared" si="0"/>
        <v>47920.546244568592</v>
      </c>
      <c r="E62" s="16">
        <f t="shared" si="0"/>
        <v>47920.546244568592</v>
      </c>
      <c r="F62" s="16">
        <f t="shared" si="0"/>
        <v>53333.333333333336</v>
      </c>
    </row>
    <row r="63" spans="1:6" x14ac:dyDescent="0.25">
      <c r="A63" s="18" t="s">
        <v>125</v>
      </c>
      <c r="B63" s="16">
        <f t="shared" si="0"/>
        <v>47700.794763908365</v>
      </c>
      <c r="C63" s="16">
        <f t="shared" si="0"/>
        <v>47053.481772538747</v>
      </c>
      <c r="D63" s="16">
        <f t="shared" si="0"/>
        <v>46017.375400091449</v>
      </c>
      <c r="E63" s="16">
        <f t="shared" si="0"/>
        <v>37142.857142857145</v>
      </c>
      <c r="F63" s="16">
        <f t="shared" si="0"/>
        <v>59019.189765458425</v>
      </c>
    </row>
    <row r="64" spans="1:6" x14ac:dyDescent="0.25">
      <c r="A64" s="18" t="s">
        <v>111</v>
      </c>
      <c r="B64" s="16">
        <f>B19/B13</f>
        <v>158107.43801652893</v>
      </c>
      <c r="C64" s="16">
        <f>C19/C13</f>
        <v>160000</v>
      </c>
      <c r="D64" s="16">
        <f>D19/D13</f>
        <v>149317.50741839764</v>
      </c>
      <c r="E64" s="16">
        <f>E19/E13</f>
        <v>144403.92706872371</v>
      </c>
      <c r="F64" s="16">
        <f>F19/F13</f>
        <v>160000</v>
      </c>
    </row>
    <row r="65" spans="1:7" x14ac:dyDescent="0.25">
      <c r="A65" t="s">
        <v>45</v>
      </c>
      <c r="B65" s="11">
        <f>(B62/B63)*B47</f>
        <v>89.557844328871241</v>
      </c>
      <c r="C65" s="11">
        <f>(C62/C63)*C47</f>
        <v>143.04705378810579</v>
      </c>
      <c r="D65" s="11">
        <f>(D62/D63)*D47</f>
        <v>69.280713790344834</v>
      </c>
      <c r="E65" s="11">
        <f>(E62/E63)*E47</f>
        <v>98.515630480924941</v>
      </c>
      <c r="F65" s="11">
        <f>(F62/F63)*F47</f>
        <v>28.561003060908753</v>
      </c>
    </row>
    <row r="66" spans="1:7" x14ac:dyDescent="0.25">
      <c r="A66" t="s">
        <v>126</v>
      </c>
      <c r="B66" s="16">
        <f t="shared" ref="B66:F67" si="1">B18/B11</f>
        <v>465615.81103880453</v>
      </c>
      <c r="C66" s="16">
        <f t="shared" si="1"/>
        <v>466737.96791443852</v>
      </c>
      <c r="D66" s="16">
        <f t="shared" si="1"/>
        <v>431284.91620111733</v>
      </c>
      <c r="E66" s="16">
        <f t="shared" si="1"/>
        <v>431284.91620111733</v>
      </c>
      <c r="F66" s="16">
        <f t="shared" si="1"/>
        <v>480000</v>
      </c>
    </row>
    <row r="67" spans="1:7" x14ac:dyDescent="0.25">
      <c r="A67" t="s">
        <v>127</v>
      </c>
      <c r="B67" s="16">
        <f t="shared" si="1"/>
        <v>429307.15287517529</v>
      </c>
      <c r="C67" s="16">
        <f t="shared" si="1"/>
        <v>423481.33595284872</v>
      </c>
      <c r="D67" s="16">
        <f t="shared" si="1"/>
        <v>414156.37860082305</v>
      </c>
      <c r="E67" s="16">
        <f t="shared" si="1"/>
        <v>334285.71428571426</v>
      </c>
      <c r="F67" s="16">
        <f t="shared" si="1"/>
        <v>531172.7078891258</v>
      </c>
    </row>
    <row r="68" spans="1:7" x14ac:dyDescent="0.25">
      <c r="B68" s="11"/>
      <c r="C68" s="11"/>
      <c r="D68" s="11"/>
      <c r="E68" s="11"/>
    </row>
    <row r="69" spans="1:7" x14ac:dyDescent="0.25">
      <c r="A69" t="s">
        <v>46</v>
      </c>
      <c r="B69" s="11"/>
      <c r="C69" s="11"/>
      <c r="D69" s="11"/>
      <c r="E69" s="11"/>
    </row>
    <row r="70" spans="1:7" x14ac:dyDescent="0.25">
      <c r="A70" t="s">
        <v>47</v>
      </c>
      <c r="B70" s="11">
        <f>(B25/B24)*100</f>
        <v>45.633178731157855</v>
      </c>
      <c r="C70" s="11"/>
      <c r="D70" s="11"/>
      <c r="E70" s="11"/>
      <c r="G70" s="7"/>
    </row>
    <row r="71" spans="1:7" x14ac:dyDescent="0.25">
      <c r="A71" t="s">
        <v>48</v>
      </c>
      <c r="B71" s="11">
        <f>(B19/B25)*100</f>
        <v>173.61041789554881</v>
      </c>
      <c r="C71" s="11"/>
      <c r="D71" s="11"/>
      <c r="E71" s="11"/>
      <c r="G71" s="7"/>
    </row>
    <row r="72" spans="1:7" ht="15.75" thickBot="1" x14ac:dyDescent="0.3">
      <c r="A72" s="12"/>
      <c r="B72" s="12"/>
      <c r="C72" s="12"/>
      <c r="D72" s="12"/>
      <c r="E72" s="12"/>
      <c r="F72" s="12"/>
    </row>
    <row r="73" spans="1:7" ht="15.75" thickTop="1" x14ac:dyDescent="0.25"/>
    <row r="74" spans="1:7" x14ac:dyDescent="0.25">
      <c r="A74" s="14" t="s">
        <v>61</v>
      </c>
    </row>
    <row r="75" spans="1:7" x14ac:dyDescent="0.25">
      <c r="A75" t="s">
        <v>112</v>
      </c>
    </row>
    <row r="76" spans="1:7" x14ac:dyDescent="0.25">
      <c r="A76" t="s">
        <v>114</v>
      </c>
      <c r="B76" s="13"/>
      <c r="C76" s="13"/>
      <c r="D76" s="13"/>
    </row>
    <row r="77" spans="1:7" x14ac:dyDescent="0.25">
      <c r="A77" t="s">
        <v>113</v>
      </c>
    </row>
    <row r="78" spans="1:7" x14ac:dyDescent="0.25">
      <c r="A78" t="s">
        <v>118</v>
      </c>
    </row>
    <row r="80" spans="1:7" x14ac:dyDescent="0.25">
      <c r="A80" t="s">
        <v>115</v>
      </c>
    </row>
    <row r="81" spans="1:1" x14ac:dyDescent="0.25">
      <c r="A81" s="25" t="s">
        <v>116</v>
      </c>
    </row>
    <row r="82" spans="1:1" x14ac:dyDescent="0.25">
      <c r="A82" s="25" t="s">
        <v>117</v>
      </c>
    </row>
    <row r="83" spans="1:1" x14ac:dyDescent="0.25">
      <c r="A83" s="25" t="s">
        <v>119</v>
      </c>
    </row>
    <row r="84" spans="1:1" x14ac:dyDescent="0.25">
      <c r="A84" s="25" t="s">
        <v>120</v>
      </c>
    </row>
    <row r="85" spans="1:1" x14ac:dyDescent="0.25">
      <c r="A85" s="27" t="s">
        <v>121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4"/>
  <sheetViews>
    <sheetView tabSelected="1" topLeftCell="A49" workbookViewId="0">
      <selection activeCell="E76" sqref="E76"/>
    </sheetView>
  </sheetViews>
  <sheetFormatPr baseColWidth="10" defaultRowHeight="15" x14ac:dyDescent="0.25"/>
  <cols>
    <col min="1" max="1" width="45.28515625" style="28" customWidth="1"/>
    <col min="2" max="2" width="18" style="28" customWidth="1"/>
    <col min="3" max="3" width="17.42578125" style="28" customWidth="1"/>
    <col min="4" max="4" width="17" style="28" customWidth="1"/>
    <col min="5" max="5" width="18" style="28" customWidth="1"/>
    <col min="6" max="6" width="15" style="28" customWidth="1"/>
    <col min="7" max="16384" width="11.42578125" style="28"/>
  </cols>
  <sheetData>
    <row r="2" spans="1:6" ht="15.75" x14ac:dyDescent="0.25">
      <c r="A2" s="44" t="s">
        <v>98</v>
      </c>
      <c r="B2" s="44"/>
      <c r="C2" s="44"/>
      <c r="D2" s="44"/>
      <c r="E2" s="44"/>
      <c r="F2" s="44"/>
    </row>
    <row r="4" spans="1:6" x14ac:dyDescent="0.25">
      <c r="A4" s="45" t="s">
        <v>1</v>
      </c>
      <c r="B4" s="54" t="s">
        <v>2</v>
      </c>
      <c r="C4" s="47" t="s">
        <v>3</v>
      </c>
      <c r="D4" s="47"/>
      <c r="E4" s="47"/>
      <c r="F4" s="47"/>
    </row>
    <row r="5" spans="1:6" ht="15.75" thickBot="1" x14ac:dyDescent="0.3">
      <c r="A5" s="46"/>
      <c r="B5" s="55"/>
      <c r="C5" s="31" t="s">
        <v>4</v>
      </c>
      <c r="D5" s="31" t="s">
        <v>5</v>
      </c>
      <c r="E5" s="31" t="s">
        <v>6</v>
      </c>
      <c r="F5" s="31" t="s">
        <v>7</v>
      </c>
    </row>
    <row r="6" spans="1:6" ht="15.75" thickTop="1" x14ac:dyDescent="0.25"/>
    <row r="7" spans="1:6" x14ac:dyDescent="0.25">
      <c r="A7" s="32" t="s">
        <v>8</v>
      </c>
    </row>
    <row r="9" spans="1:6" x14ac:dyDescent="0.25">
      <c r="A9" s="28" t="s">
        <v>9</v>
      </c>
    </row>
    <row r="10" spans="1:6" x14ac:dyDescent="0.25">
      <c r="A10" s="33" t="s">
        <v>99</v>
      </c>
      <c r="B10" s="28">
        <f>SUM(C10:F10)</f>
        <v>3530</v>
      </c>
      <c r="C10" s="28">
        <f>+'I trimestre'!C10+'II Trimestre'!C10+'III Trimestre'!C10+'IV Trimestre'!C10</f>
        <v>2646</v>
      </c>
      <c r="D10" s="28">
        <f>+'I trimestre'!D10+'II Trimestre'!D10+'III Trimestre'!D10+'IV Trimestre'!D10</f>
        <v>346</v>
      </c>
      <c r="E10" s="28">
        <f>+'I trimestre'!E10+'II Trimestre'!E10+'III Trimestre'!E10+'IV Trimestre'!E10</f>
        <v>538</v>
      </c>
      <c r="F10" s="28">
        <f>+'I trimestre'!F10+'II Trimestre'!F10+'III Trimestre'!F10+'IV Trimestre'!F10</f>
        <v>0</v>
      </c>
    </row>
    <row r="11" spans="1:6" x14ac:dyDescent="0.25">
      <c r="A11" s="33" t="s">
        <v>100</v>
      </c>
      <c r="B11" s="28">
        <f>SUM(C11:F11)</f>
        <v>4685</v>
      </c>
      <c r="C11" s="28">
        <f>+'I trimestre'!C11+'II Trimestre'!C11+'III Trimestre'!C11+'IV Trimestre'!C11</f>
        <v>2274</v>
      </c>
      <c r="D11" s="28">
        <f>+'I trimestre'!D11+'II Trimestre'!D11+'III Trimestre'!D11+'IV Trimestre'!D11</f>
        <v>424</v>
      </c>
      <c r="E11" s="28">
        <f>+'I trimestre'!E11+'II Trimestre'!E11+'III Trimestre'!E11+'IV Trimestre'!E11</f>
        <v>424</v>
      </c>
      <c r="F11" s="28">
        <f>+'I trimestre'!F11+'II Trimestre'!F11+'III Trimestre'!F11+'IV Trimestre'!F11</f>
        <v>1563</v>
      </c>
    </row>
    <row r="12" spans="1:6" x14ac:dyDescent="0.25">
      <c r="A12" s="33" t="s">
        <v>101</v>
      </c>
      <c r="B12" s="28">
        <f>SUM(C12:F12)</f>
        <v>4338</v>
      </c>
      <c r="C12" s="28">
        <f>+'I trimestre'!C12+'II Trimestre'!C12+'III Trimestre'!C12+'IV Trimestre'!C12</f>
        <v>3178</v>
      </c>
      <c r="D12" s="28">
        <f>+'I trimestre'!D12+'II Trimestre'!D12+'III Trimestre'!D12+'IV Trimestre'!D12</f>
        <v>260</v>
      </c>
      <c r="E12" s="28">
        <f>+'I trimestre'!E12+'II Trimestre'!E12+'III Trimestre'!E12+'IV Trimestre'!E12</f>
        <v>425</v>
      </c>
      <c r="F12" s="28">
        <f>+'I trimestre'!F12+'II Trimestre'!F12+'III Trimestre'!F12+'IV Trimestre'!F12</f>
        <v>475</v>
      </c>
    </row>
    <row r="13" spans="1:6" x14ac:dyDescent="0.25">
      <c r="A13" s="35" t="s">
        <v>110</v>
      </c>
      <c r="B13" s="28">
        <f>SUM(C13:F13)</f>
        <v>12675</v>
      </c>
      <c r="C13" s="28">
        <f>+'I trimestre'!C13+'II Trimestre'!C13+'III Trimestre'!C13+'IV Trimestre'!C13</f>
        <v>9182</v>
      </c>
      <c r="D13" s="28">
        <f>+'I trimestre'!D13+'II Trimestre'!D13+'III Trimestre'!D13+'IV Trimestre'!D13</f>
        <v>866</v>
      </c>
      <c r="E13" s="28">
        <f>+'I trimestre'!E13+'II Trimestre'!E13+'III Trimestre'!E13+'IV Trimestre'!E13</f>
        <v>1056</v>
      </c>
      <c r="F13" s="28">
        <f>+'I trimestre'!F13+'II Trimestre'!F13+'III Trimestre'!F13+'IV Trimestre'!F13</f>
        <v>1571</v>
      </c>
    </row>
    <row r="14" spans="1:6" x14ac:dyDescent="0.25">
      <c r="A14" s="33" t="s">
        <v>13</v>
      </c>
      <c r="B14" s="28">
        <f>SUM(C14:F14)</f>
        <v>5212</v>
      </c>
      <c r="C14" s="28">
        <f>'IV Trimestre'!C14</f>
        <v>2659</v>
      </c>
      <c r="D14" s="28">
        <f>'IV Trimestre'!D14</f>
        <v>495</v>
      </c>
      <c r="E14" s="28">
        <f>'IV Trimestre'!E14</f>
        <v>495</v>
      </c>
      <c r="F14" s="28">
        <f>'IV Trimestre'!F14</f>
        <v>1563</v>
      </c>
    </row>
    <row r="16" spans="1:6" x14ac:dyDescent="0.25">
      <c r="A16" s="36" t="s">
        <v>14</v>
      </c>
    </row>
    <row r="17" spans="1:7" x14ac:dyDescent="0.25">
      <c r="A17" s="33" t="s">
        <v>102</v>
      </c>
      <c r="B17" s="28">
        <f>SUM(C17:F17)</f>
        <v>1499917500</v>
      </c>
      <c r="C17" s="34">
        <f>+'I trimestre'!C17+'II Trimestre'!C17+'III Trimestre'!C17+'IV Trimestre'!C17</f>
        <v>1145205000</v>
      </c>
      <c r="D17" s="34">
        <f>+'I trimestre'!D17+'II Trimestre'!D17+'III Trimestre'!D17+'IV Trimestre'!D17</f>
        <v>146508750</v>
      </c>
      <c r="E17" s="34">
        <f>+'I trimestre'!E17+'II Trimestre'!E17+'III Trimestre'!E17+'IV Trimestre'!E17</f>
        <v>208203750</v>
      </c>
      <c r="F17" s="28">
        <f>+'I trimestre'!F17+'II Trimestre'!F17+'III Trimestre'!F17+'IV Trimestre'!F17</f>
        <v>0</v>
      </c>
    </row>
    <row r="18" spans="1:7" x14ac:dyDescent="0.25">
      <c r="A18" s="33" t="s">
        <v>100</v>
      </c>
      <c r="B18" s="28">
        <f>SUM(C18:F18)</f>
        <v>2452920000</v>
      </c>
      <c r="C18" s="34">
        <f>+'I trimestre'!C18+'II Trimestre'!C18+'III Trimestre'!C18+'IV Trimestre'!C18</f>
        <v>1259160000</v>
      </c>
      <c r="D18" s="34">
        <f>+'I trimestre'!D18+'II Trimestre'!D18+'III Trimestre'!D18+'IV Trimestre'!D18</f>
        <v>221760000</v>
      </c>
      <c r="E18" s="34">
        <f>+'I trimestre'!E18+'II Trimestre'!E18+'III Trimestre'!E18+'IV Trimestre'!E18</f>
        <v>221760000</v>
      </c>
      <c r="F18" s="28">
        <f>+'I trimestre'!F18+'II Trimestre'!F18+'III Trimestre'!F18+'IV Trimestre'!F18</f>
        <v>750240000</v>
      </c>
    </row>
    <row r="19" spans="1:7" x14ac:dyDescent="0.25">
      <c r="A19" s="33" t="s">
        <v>101</v>
      </c>
      <c r="B19" s="28">
        <f>SUM(C19:F19)</f>
        <v>1998200000</v>
      </c>
      <c r="C19" s="34">
        <f>+'I trimestre'!C19+'II Trimestre'!C19+'III Trimestre'!C19+'IV Trimestre'!C19</f>
        <v>1469120000</v>
      </c>
      <c r="D19" s="34">
        <f>+'I trimestre'!D19+'II Trimestre'!D19+'III Trimestre'!D19+'IV Trimestre'!D19</f>
        <v>126880000</v>
      </c>
      <c r="E19" s="34">
        <f>+'I trimestre'!E19+'II Trimestre'!E19+'III Trimestre'!E19+'IV Trimestre'!E19</f>
        <v>150840000</v>
      </c>
      <c r="F19" s="28">
        <f>+'I trimestre'!F19+'II Trimestre'!F19+'III Trimestre'!F19+'IV Trimestre'!F19</f>
        <v>251360000</v>
      </c>
    </row>
    <row r="20" spans="1:7" x14ac:dyDescent="0.25">
      <c r="A20" s="33" t="s">
        <v>13</v>
      </c>
      <c r="B20" s="28">
        <f>SUM(C20:F20)</f>
        <v>1999960000</v>
      </c>
      <c r="C20" s="28">
        <f>'IV Trimestre'!C20</f>
        <v>1275160000</v>
      </c>
      <c r="D20" s="28">
        <f>'IV Trimestre'!D20</f>
        <v>237440000</v>
      </c>
      <c r="E20" s="28">
        <f>'IV Trimestre'!E20</f>
        <v>237440000</v>
      </c>
      <c r="F20" s="28">
        <f>'IV Trimestre'!F20</f>
        <v>249920000</v>
      </c>
    </row>
    <row r="21" spans="1:7" x14ac:dyDescent="0.25">
      <c r="A21" s="33" t="s">
        <v>103</v>
      </c>
      <c r="B21" s="28">
        <f>SUM(C21:F21)</f>
        <v>1998200000</v>
      </c>
      <c r="C21" s="28">
        <f>C19</f>
        <v>1469120000</v>
      </c>
      <c r="D21" s="28">
        <f>D19</f>
        <v>126880000</v>
      </c>
      <c r="E21" s="28">
        <f>E19</f>
        <v>150840000</v>
      </c>
      <c r="F21" s="28">
        <f>F19</f>
        <v>251360000</v>
      </c>
    </row>
    <row r="23" spans="1:7" x14ac:dyDescent="0.25">
      <c r="A23" s="28" t="s">
        <v>16</v>
      </c>
      <c r="B23" s="34"/>
      <c r="C23" s="34"/>
      <c r="D23" s="34"/>
      <c r="E23" s="34"/>
      <c r="F23" s="34"/>
    </row>
    <row r="24" spans="1:7" x14ac:dyDescent="0.25">
      <c r="A24" s="28" t="s">
        <v>100</v>
      </c>
      <c r="B24" s="34">
        <f>B18</f>
        <v>2452920000</v>
      </c>
      <c r="C24" s="34">
        <f>C18</f>
        <v>1259160000</v>
      </c>
      <c r="D24" s="34">
        <f>D18</f>
        <v>221760000</v>
      </c>
      <c r="E24" s="34">
        <f>E18</f>
        <v>221760000</v>
      </c>
      <c r="F24" s="34">
        <f>F18</f>
        <v>750240000</v>
      </c>
      <c r="G24" s="37"/>
    </row>
    <row r="25" spans="1:7" x14ac:dyDescent="0.25">
      <c r="A25" s="28" t="s">
        <v>101</v>
      </c>
      <c r="B25" s="34">
        <f>+'I trimestre'!B25+'II Trimestre'!B25+'III Trimestre'!B25+'IV Trimestre'!B25</f>
        <v>1917200000</v>
      </c>
      <c r="C25" s="34"/>
      <c r="D25" s="34"/>
      <c r="E25" s="34"/>
      <c r="F25" s="34"/>
      <c r="G25" s="37"/>
    </row>
    <row r="26" spans="1:7" x14ac:dyDescent="0.25">
      <c r="B26" s="34"/>
      <c r="C26" s="34"/>
      <c r="D26" s="34"/>
      <c r="E26" s="34"/>
      <c r="F26" s="34"/>
    </row>
    <row r="27" spans="1:7" x14ac:dyDescent="0.25">
      <c r="A27" s="28" t="s">
        <v>17</v>
      </c>
      <c r="B27" s="34"/>
      <c r="C27" s="34"/>
      <c r="D27" s="34"/>
      <c r="E27" s="34"/>
      <c r="F27" s="34"/>
    </row>
    <row r="28" spans="1:7" x14ac:dyDescent="0.25">
      <c r="A28" s="28" t="s">
        <v>104</v>
      </c>
      <c r="B28" s="19">
        <v>1.4</v>
      </c>
      <c r="C28" s="19">
        <v>1.4</v>
      </c>
      <c r="D28" s="19">
        <v>1.4</v>
      </c>
      <c r="E28" s="19">
        <v>1.4</v>
      </c>
      <c r="F28" s="19">
        <v>1.4</v>
      </c>
    </row>
    <row r="29" spans="1:7" x14ac:dyDescent="0.25">
      <c r="A29" s="28" t="s">
        <v>105</v>
      </c>
      <c r="B29" s="19">
        <v>1.47</v>
      </c>
      <c r="C29" s="19">
        <v>1.47</v>
      </c>
      <c r="D29" s="19">
        <v>1.47</v>
      </c>
      <c r="E29" s="19">
        <v>1.47</v>
      </c>
      <c r="F29" s="19">
        <v>1.47</v>
      </c>
    </row>
    <row r="30" spans="1:7" x14ac:dyDescent="0.25">
      <c r="A30" s="28" t="s">
        <v>20</v>
      </c>
      <c r="B30" s="28">
        <v>69704</v>
      </c>
      <c r="C30" s="28">
        <v>69704</v>
      </c>
      <c r="D30" s="28">
        <v>69704</v>
      </c>
      <c r="E30" s="28">
        <v>69704</v>
      </c>
      <c r="F30" s="28">
        <v>69704</v>
      </c>
    </row>
    <row r="31" spans="1:7" x14ac:dyDescent="0.25">
      <c r="B31" s="34"/>
      <c r="C31" s="34"/>
      <c r="D31" s="34"/>
      <c r="E31" s="34"/>
      <c r="F31" s="34"/>
    </row>
    <row r="32" spans="1:7" x14ac:dyDescent="0.25">
      <c r="A32" s="28" t="s">
        <v>21</v>
      </c>
      <c r="B32" s="34"/>
      <c r="C32" s="34"/>
      <c r="D32" s="34"/>
      <c r="E32" s="34"/>
      <c r="F32" s="34"/>
    </row>
    <row r="33" spans="1:6" x14ac:dyDescent="0.25">
      <c r="A33" s="28" t="s">
        <v>106</v>
      </c>
      <c r="B33" s="34">
        <f>B17/B28</f>
        <v>1071369642.8571429</v>
      </c>
      <c r="C33" s="34">
        <f>C17/C28</f>
        <v>818003571.42857146</v>
      </c>
      <c r="D33" s="34">
        <f>D17/D28</f>
        <v>104649107.14285715</v>
      </c>
      <c r="E33" s="34">
        <f>E17/E28</f>
        <v>148716964.2857143</v>
      </c>
      <c r="F33" s="34">
        <f>F17/F28</f>
        <v>0</v>
      </c>
    </row>
    <row r="34" spans="1:6" x14ac:dyDescent="0.25">
      <c r="A34" s="28" t="s">
        <v>107</v>
      </c>
      <c r="B34" s="34">
        <f>B19/B29</f>
        <v>1359319727.8911564</v>
      </c>
      <c r="C34" s="34">
        <f>C19/C29</f>
        <v>999401360.54421771</v>
      </c>
      <c r="D34" s="34">
        <f>D19/D29</f>
        <v>86312925.170068026</v>
      </c>
      <c r="E34" s="34">
        <f>E19/E29</f>
        <v>102612244.89795919</v>
      </c>
      <c r="F34" s="34">
        <f>F19/F29</f>
        <v>170993197.27891156</v>
      </c>
    </row>
    <row r="35" spans="1:6" x14ac:dyDescent="0.25">
      <c r="A35" s="28" t="s">
        <v>108</v>
      </c>
      <c r="B35" s="34">
        <f>B33/B10</f>
        <v>303504.14811817079</v>
      </c>
      <c r="C35" s="34">
        <f>C33/C10</f>
        <v>309147.23032069975</v>
      </c>
      <c r="D35" s="34">
        <f>D33/D10</f>
        <v>302454.06688687037</v>
      </c>
      <c r="E35" s="34">
        <f>E33/E10</f>
        <v>276425.58417419012</v>
      </c>
      <c r="F35" s="34" t="e">
        <f>F33/F10</f>
        <v>#DIV/0!</v>
      </c>
    </row>
    <row r="36" spans="1:6" x14ac:dyDescent="0.25">
      <c r="A36" s="28" t="s">
        <v>109</v>
      </c>
      <c r="B36" s="34">
        <f>B34/B12</f>
        <v>313351.71228472947</v>
      </c>
      <c r="C36" s="34">
        <f>C34/C12</f>
        <v>314474.94038521638</v>
      </c>
      <c r="D36" s="34">
        <f>D34/D12</f>
        <v>331972.78911564627</v>
      </c>
      <c r="E36" s="34">
        <f>E34/E12</f>
        <v>241440.57623049221</v>
      </c>
      <c r="F36" s="34">
        <f>F34/F12</f>
        <v>359985.67848191905</v>
      </c>
    </row>
    <row r="38" spans="1:6" x14ac:dyDescent="0.25">
      <c r="A38" s="32" t="s">
        <v>26</v>
      </c>
    </row>
    <row r="40" spans="1:6" x14ac:dyDescent="0.25">
      <c r="A40" s="28" t="s">
        <v>27</v>
      </c>
    </row>
    <row r="41" spans="1:6" x14ac:dyDescent="0.25">
      <c r="A41" s="28" t="s">
        <v>28</v>
      </c>
      <c r="B41" s="19">
        <f>B11/B30*100</f>
        <v>6.7212785492941585</v>
      </c>
      <c r="C41" s="19">
        <f>C11/C30*100</f>
        <v>3.2623665786755423</v>
      </c>
      <c r="D41" s="19">
        <f>D11/D30*100</f>
        <v>0.60828646849535173</v>
      </c>
      <c r="E41" s="19">
        <f>E11/E30*100</f>
        <v>0.60828646849535173</v>
      </c>
      <c r="F41" s="19">
        <f>F11/F30*100</f>
        <v>2.2423390336279123</v>
      </c>
    </row>
    <row r="42" spans="1:6" x14ac:dyDescent="0.25">
      <c r="A42" s="28" t="s">
        <v>29</v>
      </c>
      <c r="B42" s="19">
        <f>B12/B30*100</f>
        <v>6.2234591988981975</v>
      </c>
      <c r="C42" s="19">
        <f>C12/C30*100</f>
        <v>4.5592792379203484</v>
      </c>
      <c r="D42" s="19">
        <f>D12/D30*100</f>
        <v>0.37300585332262137</v>
      </c>
      <c r="E42" s="19">
        <f>E12/E30*100</f>
        <v>0.60972110639274646</v>
      </c>
      <c r="F42" s="19">
        <f>F12/F30*100</f>
        <v>0.68145300126248132</v>
      </c>
    </row>
    <row r="43" spans="1:6" x14ac:dyDescent="0.25">
      <c r="B43" s="19"/>
      <c r="C43" s="19"/>
      <c r="D43" s="19"/>
      <c r="E43" s="19"/>
      <c r="F43" s="19"/>
    </row>
    <row r="44" spans="1:6" x14ac:dyDescent="0.25">
      <c r="A44" s="28" t="s">
        <v>30</v>
      </c>
      <c r="B44" s="19"/>
      <c r="C44" s="19"/>
      <c r="D44" s="19"/>
      <c r="E44" s="19"/>
      <c r="F44" s="19"/>
    </row>
    <row r="45" spans="1:6" x14ac:dyDescent="0.25">
      <c r="A45" s="28" t="s">
        <v>31</v>
      </c>
      <c r="B45" s="19">
        <f>B12/B11*100</f>
        <v>92.593383137673428</v>
      </c>
      <c r="C45" s="19">
        <f>C12/C11*100</f>
        <v>139.75373790677222</v>
      </c>
      <c r="D45" s="19">
        <f>D12/D11*100</f>
        <v>61.320754716981128</v>
      </c>
      <c r="E45" s="19">
        <f>E12/E11*100</f>
        <v>100.23584905660377</v>
      </c>
      <c r="F45" s="19">
        <f>F12/F11*100</f>
        <v>30.390275111964172</v>
      </c>
    </row>
    <row r="46" spans="1:6" x14ac:dyDescent="0.25">
      <c r="A46" s="28" t="s">
        <v>32</v>
      </c>
      <c r="B46" s="19">
        <f>B19/B18*100</f>
        <v>81.462094157167783</v>
      </c>
      <c r="C46" s="19">
        <f>C19/C18*100</f>
        <v>116.67460846913815</v>
      </c>
      <c r="D46" s="19">
        <f>D19/D18*100</f>
        <v>57.215007215007219</v>
      </c>
      <c r="E46" s="19">
        <f>E19/E18*100</f>
        <v>68.019480519480524</v>
      </c>
      <c r="F46" s="19">
        <f>F19/F18*100</f>
        <v>33.50394540413734</v>
      </c>
    </row>
    <row r="47" spans="1:6" x14ac:dyDescent="0.25">
      <c r="A47" s="28" t="s">
        <v>33</v>
      </c>
      <c r="B47" s="43">
        <f>AVERAGE(B45:B46)</f>
        <v>87.027738647420605</v>
      </c>
      <c r="C47" s="43">
        <f>AVERAGE(C45:C46)</f>
        <v>128.21417318795517</v>
      </c>
      <c r="D47" s="43">
        <f>AVERAGE(D45:D46)</f>
        <v>59.267880965994173</v>
      </c>
      <c r="E47" s="43">
        <f>AVERAGE(E45:E46)</f>
        <v>84.127664788042154</v>
      </c>
      <c r="F47" s="43">
        <f>AVERAGE(F45:F46)</f>
        <v>31.947110258050756</v>
      </c>
    </row>
    <row r="48" spans="1:6" x14ac:dyDescent="0.25">
      <c r="B48" s="43"/>
      <c r="C48" s="43"/>
      <c r="D48" s="43"/>
      <c r="E48" s="43"/>
      <c r="F48" s="19"/>
    </row>
    <row r="49" spans="1:6" x14ac:dyDescent="0.25">
      <c r="A49" s="28" t="s">
        <v>34</v>
      </c>
      <c r="B49" s="43"/>
      <c r="C49" s="43"/>
      <c r="D49" s="43"/>
      <c r="E49" s="43"/>
      <c r="F49" s="19"/>
    </row>
    <row r="50" spans="1:6" x14ac:dyDescent="0.25">
      <c r="A50" s="28" t="s">
        <v>35</v>
      </c>
      <c r="B50" s="43">
        <f>B12/B14*100</f>
        <v>83.231005372217965</v>
      </c>
      <c r="C50" s="43">
        <f>C12/C14*100</f>
        <v>119.51861602106055</v>
      </c>
      <c r="D50" s="43">
        <f>D12/D14*100</f>
        <v>52.525252525252533</v>
      </c>
      <c r="E50" s="43">
        <f>E12/E14*100</f>
        <v>85.858585858585855</v>
      </c>
      <c r="F50" s="43">
        <f>F12/F14*100</f>
        <v>30.390275111964172</v>
      </c>
    </row>
    <row r="51" spans="1:6" x14ac:dyDescent="0.25">
      <c r="A51" s="28" t="s">
        <v>36</v>
      </c>
      <c r="B51" s="43">
        <f>B19/B20*100</f>
        <v>99.911998239964788</v>
      </c>
      <c r="C51" s="43">
        <f>C19/C20*100</f>
        <v>115.21064023338248</v>
      </c>
      <c r="D51" s="43">
        <f>D19/D20*100</f>
        <v>53.436657681940702</v>
      </c>
      <c r="E51" s="43">
        <f>E19/E20*100</f>
        <v>63.527628032345021</v>
      </c>
      <c r="F51" s="43">
        <f>F19/F20*100</f>
        <v>100.57618437900129</v>
      </c>
    </row>
    <row r="52" spans="1:6" x14ac:dyDescent="0.25">
      <c r="A52" s="28" t="s">
        <v>37</v>
      </c>
      <c r="B52" s="43">
        <f>(B50+B51)/2</f>
        <v>91.571501806091376</v>
      </c>
      <c r="C52" s="43">
        <f>(C50+C51)/2</f>
        <v>117.36462812722152</v>
      </c>
      <c r="D52" s="43">
        <f>(D50+D51)/2</f>
        <v>52.980955103596614</v>
      </c>
      <c r="E52" s="43">
        <f>(E50+E51)/2</f>
        <v>74.693106945465445</v>
      </c>
      <c r="F52" s="43">
        <f>(F50+F51)/2</f>
        <v>65.483229745482731</v>
      </c>
    </row>
    <row r="53" spans="1:6" x14ac:dyDescent="0.25">
      <c r="B53" s="43"/>
      <c r="C53" s="43"/>
      <c r="D53" s="43"/>
      <c r="E53" s="43"/>
      <c r="F53" s="19"/>
    </row>
    <row r="54" spans="1:6" x14ac:dyDescent="0.25">
      <c r="A54" s="28" t="s">
        <v>38</v>
      </c>
      <c r="B54" s="43">
        <f>B21/B19*100</f>
        <v>100</v>
      </c>
      <c r="C54" s="43">
        <f>C21/C19*100</f>
        <v>100</v>
      </c>
      <c r="D54" s="43">
        <f>D21/D19*100</f>
        <v>100</v>
      </c>
      <c r="E54" s="43">
        <f>E21/E19*100</f>
        <v>100</v>
      </c>
      <c r="F54" s="43">
        <f>F21/F19*100</f>
        <v>100</v>
      </c>
    </row>
    <row r="55" spans="1:6" x14ac:dyDescent="0.25">
      <c r="B55" s="43"/>
      <c r="C55" s="43"/>
      <c r="D55" s="43"/>
      <c r="E55" s="43"/>
      <c r="F55" s="19"/>
    </row>
    <row r="56" spans="1:6" x14ac:dyDescent="0.25">
      <c r="A56" s="28" t="s">
        <v>39</v>
      </c>
      <c r="B56" s="43"/>
      <c r="C56" s="43"/>
      <c r="D56" s="43"/>
      <c r="E56" s="43"/>
      <c r="F56" s="19"/>
    </row>
    <row r="57" spans="1:6" x14ac:dyDescent="0.25">
      <c r="A57" s="28" t="s">
        <v>40</v>
      </c>
      <c r="B57" s="43">
        <f>((B12/B10)-1)*100</f>
        <v>22.889518413597742</v>
      </c>
      <c r="C57" s="43">
        <f>((C12/C10)-1)*100</f>
        <v>20.105820105820115</v>
      </c>
      <c r="D57" s="43">
        <f>((D12/D10)-1)*100</f>
        <v>-24.855491329479772</v>
      </c>
      <c r="E57" s="43">
        <f>((E12/E10)-1)*100</f>
        <v>-21.003717472118954</v>
      </c>
      <c r="F57" s="43" t="e">
        <f>((F12/F10)-1)*100</f>
        <v>#DIV/0!</v>
      </c>
    </row>
    <row r="58" spans="1:6" x14ac:dyDescent="0.25">
      <c r="A58" s="28" t="s">
        <v>42</v>
      </c>
      <c r="B58" s="43">
        <f>((B34/B33)-1)*100</f>
        <v>26.876819494913473</v>
      </c>
      <c r="C58" s="43">
        <f>((C34/C33)-1)*100</f>
        <v>22.175672020459626</v>
      </c>
      <c r="D58" s="43">
        <f>((D34/D33)-1)*100</f>
        <v>-17.521584725761961</v>
      </c>
      <c r="E58" s="43">
        <f>((E34/E33)-1)*100</f>
        <v>-31.00165445764409</v>
      </c>
      <c r="F58" s="43" t="e">
        <f>((F34/F33)-1)*100</f>
        <v>#DIV/0!</v>
      </c>
    </row>
    <row r="59" spans="1:6" x14ac:dyDescent="0.25">
      <c r="A59" s="28" t="s">
        <v>43</v>
      </c>
      <c r="B59" s="43">
        <f>((B36/B35)-1)*100</f>
        <v>3.244622594984925</v>
      </c>
      <c r="C59" s="43">
        <f>((C36/C35)-1)*100</f>
        <v>1.7233568804707833</v>
      </c>
      <c r="D59" s="43">
        <f>((D36/D35)-1)*100</f>
        <v>9.7597372495629386</v>
      </c>
      <c r="E59" s="43">
        <f>((E36/E35)-1)*100</f>
        <v>-12.656211995794154</v>
      </c>
      <c r="F59" s="43" t="e">
        <f>((F36/F35)-1)*100</f>
        <v>#DIV/0!</v>
      </c>
    </row>
    <row r="60" spans="1:6" x14ac:dyDescent="0.25">
      <c r="B60" s="34"/>
      <c r="C60" s="34"/>
      <c r="D60" s="34"/>
      <c r="E60" s="34"/>
    </row>
    <row r="61" spans="1:6" x14ac:dyDescent="0.25">
      <c r="A61" s="28" t="s">
        <v>44</v>
      </c>
      <c r="B61" s="34"/>
      <c r="C61" s="34"/>
      <c r="D61" s="34"/>
      <c r="E61" s="34"/>
    </row>
    <row r="62" spans="1:6" x14ac:dyDescent="0.25">
      <c r="A62" s="34" t="s">
        <v>124</v>
      </c>
      <c r="B62" s="34">
        <f t="shared" ref="B62:F63" si="0">B18/(B11*12)</f>
        <v>43630.736392742794</v>
      </c>
      <c r="C62" s="34">
        <f t="shared" si="0"/>
        <v>46143.359718557607</v>
      </c>
      <c r="D62" s="34">
        <f t="shared" si="0"/>
        <v>43584.905660377357</v>
      </c>
      <c r="E62" s="34">
        <f t="shared" si="0"/>
        <v>43584.905660377357</v>
      </c>
      <c r="F62" s="34">
        <f t="shared" si="0"/>
        <v>40000</v>
      </c>
    </row>
    <row r="63" spans="1:6" x14ac:dyDescent="0.25">
      <c r="A63" s="34" t="s">
        <v>125</v>
      </c>
      <c r="B63" s="34">
        <f t="shared" si="0"/>
        <v>38385.584754879361</v>
      </c>
      <c r="C63" s="34">
        <f t="shared" si="0"/>
        <v>38523.180197189009</v>
      </c>
      <c r="D63" s="34">
        <f t="shared" si="0"/>
        <v>40666.666666666664</v>
      </c>
      <c r="E63" s="34">
        <f t="shared" si="0"/>
        <v>29576.470588235294</v>
      </c>
      <c r="F63" s="34">
        <f t="shared" si="0"/>
        <v>44098.245614035084</v>
      </c>
    </row>
    <row r="64" spans="1:6" x14ac:dyDescent="0.25">
      <c r="A64" s="34" t="s">
        <v>111</v>
      </c>
      <c r="B64" s="34">
        <f>B19/B13</f>
        <v>157648.91518737673</v>
      </c>
      <c r="C64" s="34">
        <f>C19/C13</f>
        <v>160000</v>
      </c>
      <c r="D64" s="34">
        <f>D19/D13</f>
        <v>146512.70207852195</v>
      </c>
      <c r="E64" s="34">
        <f>E19/E13</f>
        <v>142840.90909090909</v>
      </c>
      <c r="F64" s="34">
        <f>F19/F13</f>
        <v>160000</v>
      </c>
    </row>
    <row r="65" spans="1:7" x14ac:dyDescent="0.25">
      <c r="A65" s="34" t="s">
        <v>45</v>
      </c>
      <c r="B65" s="43">
        <f>(B62/B63)*B47</f>
        <v>98.919538363928623</v>
      </c>
      <c r="C65" s="43">
        <f>(C62/C63)*C47</f>
        <v>153.57591673755326</v>
      </c>
      <c r="D65" s="43">
        <f>(D62/D63)*D47</f>
        <v>63.520942637540927</v>
      </c>
      <c r="E65" s="43">
        <f>(E62/E63)*E47</f>
        <v>123.97342415403608</v>
      </c>
      <c r="F65" s="43">
        <f>(F62/F63)*F47</f>
        <v>28.978123563158707</v>
      </c>
    </row>
    <row r="66" spans="1:7" x14ac:dyDescent="0.25">
      <c r="A66" s="34" t="s">
        <v>126</v>
      </c>
      <c r="B66" s="34">
        <f t="shared" ref="B66:F67" si="1">B18/B11</f>
        <v>523568.83671291353</v>
      </c>
      <c r="C66" s="34">
        <f t="shared" si="1"/>
        <v>553720.31662269135</v>
      </c>
      <c r="D66" s="34">
        <f t="shared" si="1"/>
        <v>523018.86792452831</v>
      </c>
      <c r="E66" s="34">
        <f t="shared" si="1"/>
        <v>523018.86792452831</v>
      </c>
      <c r="F66" s="34">
        <f t="shared" si="1"/>
        <v>480000</v>
      </c>
    </row>
    <row r="67" spans="1:7" x14ac:dyDescent="0.25">
      <c r="A67" s="34" t="s">
        <v>127</v>
      </c>
      <c r="B67" s="34">
        <f t="shared" si="1"/>
        <v>460627.0170585523</v>
      </c>
      <c r="C67" s="34">
        <f t="shared" si="1"/>
        <v>462278.16236626811</v>
      </c>
      <c r="D67" s="34">
        <f t="shared" si="1"/>
        <v>488000</v>
      </c>
      <c r="E67" s="34">
        <f t="shared" si="1"/>
        <v>354917.64705882355</v>
      </c>
      <c r="F67" s="34">
        <f t="shared" si="1"/>
        <v>529178.94736842101</v>
      </c>
    </row>
    <row r="68" spans="1:7" x14ac:dyDescent="0.25">
      <c r="B68" s="34"/>
      <c r="C68" s="34"/>
      <c r="D68" s="34"/>
      <c r="E68" s="34"/>
    </row>
    <row r="69" spans="1:7" x14ac:dyDescent="0.25">
      <c r="A69" s="28" t="s">
        <v>46</v>
      </c>
      <c r="B69" s="34"/>
      <c r="C69" s="34"/>
      <c r="D69" s="34"/>
      <c r="E69" s="34"/>
    </row>
    <row r="70" spans="1:7" x14ac:dyDescent="0.25">
      <c r="A70" s="28" t="s">
        <v>47</v>
      </c>
      <c r="B70" s="34">
        <f>(B25/B24)*100</f>
        <v>78.159907375699163</v>
      </c>
      <c r="C70" s="34"/>
      <c r="D70" s="34"/>
      <c r="E70" s="34"/>
      <c r="G70" s="37"/>
    </row>
    <row r="71" spans="1:7" x14ac:dyDescent="0.25">
      <c r="A71" s="28" t="s">
        <v>48</v>
      </c>
      <c r="B71" s="34">
        <f>(B19/B25)*100</f>
        <v>104.2249113290215</v>
      </c>
      <c r="C71" s="34"/>
      <c r="D71" s="34"/>
      <c r="E71" s="34"/>
      <c r="G71" s="37"/>
    </row>
    <row r="72" spans="1:7" ht="15.75" thickBot="1" x14ac:dyDescent="0.3">
      <c r="A72" s="39"/>
      <c r="B72" s="39"/>
      <c r="C72" s="39"/>
      <c r="D72" s="39"/>
      <c r="E72" s="39"/>
      <c r="F72" s="39"/>
    </row>
    <row r="73" spans="1:7" ht="15.75" thickTop="1" x14ac:dyDescent="0.25"/>
    <row r="74" spans="1:7" x14ac:dyDescent="0.25">
      <c r="A74" s="40" t="s">
        <v>61</v>
      </c>
    </row>
    <row r="75" spans="1:7" x14ac:dyDescent="0.25">
      <c r="A75" s="28" t="s">
        <v>112</v>
      </c>
    </row>
    <row r="76" spans="1:7" x14ac:dyDescent="0.25">
      <c r="A76" s="28" t="s">
        <v>114</v>
      </c>
    </row>
    <row r="77" spans="1:7" x14ac:dyDescent="0.25">
      <c r="A77" s="28" t="s">
        <v>113</v>
      </c>
    </row>
    <row r="78" spans="1:7" x14ac:dyDescent="0.25">
      <c r="A78" s="28" t="s">
        <v>118</v>
      </c>
    </row>
    <row r="80" spans="1:7" x14ac:dyDescent="0.25">
      <c r="A80" s="28" t="s">
        <v>115</v>
      </c>
    </row>
    <row r="81" spans="1:5" x14ac:dyDescent="0.25">
      <c r="A81" s="41" t="s">
        <v>116</v>
      </c>
    </row>
    <row r="82" spans="1:5" x14ac:dyDescent="0.25">
      <c r="A82" s="41" t="s">
        <v>117</v>
      </c>
    </row>
    <row r="83" spans="1:5" x14ac:dyDescent="0.25">
      <c r="A83" s="41" t="s">
        <v>119</v>
      </c>
    </row>
    <row r="84" spans="1:5" x14ac:dyDescent="0.25">
      <c r="A84" s="41" t="s">
        <v>120</v>
      </c>
    </row>
    <row r="85" spans="1:5" x14ac:dyDescent="0.25">
      <c r="A85" s="42" t="s">
        <v>121</v>
      </c>
    </row>
    <row r="89" spans="1:5" x14ac:dyDescent="0.25">
      <c r="E89" s="28" t="s">
        <v>128</v>
      </c>
    </row>
    <row r="90" spans="1:5" x14ac:dyDescent="0.25">
      <c r="E90" s="28" t="s">
        <v>129</v>
      </c>
    </row>
    <row r="104" spans="2:6" x14ac:dyDescent="0.25">
      <c r="B104" s="28" t="s">
        <v>123</v>
      </c>
      <c r="C104" s="28" t="s">
        <v>4</v>
      </c>
      <c r="D104" s="28" t="s">
        <v>5</v>
      </c>
      <c r="E104" s="28" t="s">
        <v>6</v>
      </c>
      <c r="F104" s="28" t="s">
        <v>7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dcterms:created xsi:type="dcterms:W3CDTF">2012-04-23T17:10:47Z</dcterms:created>
  <dcterms:modified xsi:type="dcterms:W3CDTF">2013-10-29T20:53:45Z</dcterms:modified>
</cp:coreProperties>
</file>