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esktop\Cambios de indicadores e informes en la página\"/>
    </mc:Choice>
  </mc:AlternateContent>
  <bookViews>
    <workbookView xWindow="0" yWindow="0" windowWidth="21600" windowHeight="9735" tabRatio="738" activeTab="6"/>
  </bookViews>
  <sheets>
    <sheet name="I Trimestre" sheetId="1" r:id="rId1"/>
    <sheet name="II trimestre" sheetId="2" r:id="rId2"/>
    <sheet name="III Trimestre" sheetId="3" r:id="rId3"/>
    <sheet name="IV Trimestre" sheetId="4" r:id="rId4"/>
    <sheet name="I Semestre" sheetId="6" r:id="rId5"/>
    <sheet name="III Trimestre Acumulado" sheetId="7" r:id="rId6"/>
    <sheet name="Anual" sheetId="5" r:id="rId7"/>
    <sheet name="Observaciones" sheetId="9" r:id="rId8"/>
  </sheets>
  <calcPr calcId="152511"/>
</workbook>
</file>

<file path=xl/calcChain.xml><?xml version="1.0" encoding="utf-8"?>
<calcChain xmlns="http://schemas.openxmlformats.org/spreadsheetml/2006/main">
  <c r="B29" i="5" l="1"/>
  <c r="B29" i="7"/>
  <c r="B29" i="6"/>
  <c r="B29" i="4"/>
  <c r="B29" i="3"/>
  <c r="B29" i="2"/>
  <c r="B29" i="1"/>
  <c r="C66" i="4" l="1"/>
  <c r="E66" i="4"/>
  <c r="F66" i="4"/>
  <c r="G66" i="4"/>
  <c r="H66" i="4"/>
  <c r="C63" i="4"/>
  <c r="E63" i="4"/>
  <c r="F63" i="4"/>
  <c r="G63" i="4"/>
  <c r="H63" i="4"/>
  <c r="C63" i="3"/>
  <c r="E63" i="3"/>
  <c r="F63" i="3"/>
  <c r="G63" i="3"/>
  <c r="H63" i="3"/>
  <c r="C66" i="3"/>
  <c r="E66" i="3"/>
  <c r="F66" i="3"/>
  <c r="G66" i="3"/>
  <c r="H66" i="3"/>
  <c r="C63" i="2"/>
  <c r="E63" i="2"/>
  <c r="F63" i="2"/>
  <c r="G63" i="2"/>
  <c r="H63" i="2"/>
  <c r="C66" i="2"/>
  <c r="E66" i="2"/>
  <c r="F66" i="2"/>
  <c r="G66" i="2"/>
  <c r="H66" i="2"/>
  <c r="C63" i="1"/>
  <c r="E63" i="1"/>
  <c r="F63" i="1"/>
  <c r="G63" i="1"/>
  <c r="H63" i="1"/>
  <c r="C66" i="1"/>
  <c r="E66" i="1"/>
  <c r="F66" i="1"/>
  <c r="G66" i="1"/>
  <c r="H66" i="1"/>
  <c r="D16" i="4" l="1"/>
  <c r="B16" i="4" s="1"/>
  <c r="B32" i="4" s="1"/>
  <c r="D16" i="3"/>
  <c r="B16" i="3"/>
  <c r="B10" i="1"/>
  <c r="B24" i="5"/>
  <c r="B23" i="5"/>
  <c r="D19" i="5"/>
  <c r="B19" i="5" s="1"/>
  <c r="C12" i="5"/>
  <c r="E12" i="5"/>
  <c r="F12" i="5"/>
  <c r="G12" i="5"/>
  <c r="H12" i="5"/>
  <c r="B24" i="7"/>
  <c r="B23" i="7"/>
  <c r="D19" i="7"/>
  <c r="B19" i="7" s="1"/>
  <c r="C12" i="7"/>
  <c r="E12" i="7"/>
  <c r="F12" i="7"/>
  <c r="G12" i="7"/>
  <c r="H12" i="7"/>
  <c r="B24" i="6"/>
  <c r="B23" i="6"/>
  <c r="E19" i="6"/>
  <c r="F19" i="6"/>
  <c r="G19" i="6"/>
  <c r="H19" i="6"/>
  <c r="C19" i="6"/>
  <c r="C17" i="6"/>
  <c r="C18" i="6"/>
  <c r="C12" i="6"/>
  <c r="E12" i="6"/>
  <c r="F12" i="6"/>
  <c r="G12" i="6"/>
  <c r="H12" i="6"/>
  <c r="C41" i="2"/>
  <c r="E41" i="2"/>
  <c r="F41" i="2"/>
  <c r="G41" i="2"/>
  <c r="H41" i="2"/>
  <c r="C41" i="3"/>
  <c r="D41" i="3"/>
  <c r="E41" i="3"/>
  <c r="F41" i="3"/>
  <c r="G41" i="3"/>
  <c r="H41" i="3"/>
  <c r="C41" i="4"/>
  <c r="E41" i="4"/>
  <c r="F41" i="4"/>
  <c r="G41" i="4"/>
  <c r="H41" i="4"/>
  <c r="C41" i="1"/>
  <c r="E41" i="1"/>
  <c r="F41" i="1"/>
  <c r="G41" i="1"/>
  <c r="H41" i="1"/>
  <c r="D33" i="2"/>
  <c r="D33" i="1"/>
  <c r="H13" i="4"/>
  <c r="H49" i="4" s="1"/>
  <c r="G13" i="4"/>
  <c r="G49" i="4" s="1"/>
  <c r="F13" i="4"/>
  <c r="F49" i="4" s="1"/>
  <c r="E13" i="4"/>
  <c r="E49" i="4" s="1"/>
  <c r="D13" i="4"/>
  <c r="C13" i="4"/>
  <c r="C49" i="4" s="1"/>
  <c r="H13" i="3"/>
  <c r="H49" i="3" s="1"/>
  <c r="G13" i="3"/>
  <c r="G49" i="3" s="1"/>
  <c r="F13" i="3"/>
  <c r="F49" i="3" s="1"/>
  <c r="E13" i="3"/>
  <c r="E49" i="3" s="1"/>
  <c r="C13" i="3"/>
  <c r="C49" i="3" s="1"/>
  <c r="H13" i="2"/>
  <c r="H49" i="2" s="1"/>
  <c r="G13" i="2"/>
  <c r="G49" i="2" s="1"/>
  <c r="F13" i="2"/>
  <c r="F49" i="2" s="1"/>
  <c r="E13" i="2"/>
  <c r="E49" i="2" s="1"/>
  <c r="D13" i="2"/>
  <c r="C13" i="2"/>
  <c r="C49" i="2" s="1"/>
  <c r="H11" i="4"/>
  <c r="G11" i="4"/>
  <c r="F11" i="4"/>
  <c r="E11" i="4"/>
  <c r="C11" i="4"/>
  <c r="H11" i="3"/>
  <c r="G11" i="3"/>
  <c r="F11" i="3"/>
  <c r="E11" i="3"/>
  <c r="D11" i="3"/>
  <c r="D40" i="3" s="1"/>
  <c r="C11" i="3"/>
  <c r="H11" i="2"/>
  <c r="G11" i="2"/>
  <c r="F11" i="2"/>
  <c r="E11" i="2"/>
  <c r="C11" i="2"/>
  <c r="C20" i="2"/>
  <c r="E20" i="2"/>
  <c r="F20" i="2"/>
  <c r="G20" i="2"/>
  <c r="H20" i="2"/>
  <c r="C20" i="3"/>
  <c r="E20" i="3"/>
  <c r="F20" i="3"/>
  <c r="G20" i="3"/>
  <c r="H20" i="3"/>
  <c r="C20" i="4"/>
  <c r="E20" i="4"/>
  <c r="F20" i="4"/>
  <c r="G20" i="4"/>
  <c r="H20" i="4"/>
  <c r="C20" i="1"/>
  <c r="E20" i="1"/>
  <c r="F20" i="1"/>
  <c r="G20" i="1"/>
  <c r="H20" i="1"/>
  <c r="H13" i="1"/>
  <c r="H49" i="1" s="1"/>
  <c r="G13" i="1"/>
  <c r="G49" i="1" s="1"/>
  <c r="F13" i="1"/>
  <c r="F49" i="1" s="1"/>
  <c r="E13" i="1"/>
  <c r="E49" i="1" s="1"/>
  <c r="C13" i="1"/>
  <c r="C49" i="1" s="1"/>
  <c r="E11" i="1"/>
  <c r="C11" i="1"/>
  <c r="H11" i="1"/>
  <c r="G11" i="1"/>
  <c r="F11" i="1"/>
  <c r="D19" i="2"/>
  <c r="D18" i="2"/>
  <c r="D17" i="2"/>
  <c r="D19" i="3"/>
  <c r="B19" i="3" s="1"/>
  <c r="D18" i="3"/>
  <c r="D17" i="3"/>
  <c r="D19" i="4"/>
  <c r="B19" i="4" s="1"/>
  <c r="D18" i="4"/>
  <c r="D17" i="4"/>
  <c r="D19" i="1"/>
  <c r="D18" i="1"/>
  <c r="D17" i="1"/>
  <c r="B19" i="2"/>
  <c r="B18" i="2"/>
  <c r="B18" i="3"/>
  <c r="B18" i="4"/>
  <c r="D12" i="2"/>
  <c r="D12" i="3"/>
  <c r="D12" i="4"/>
  <c r="D11" i="1"/>
  <c r="B11" i="1" s="1"/>
  <c r="D12" i="1"/>
  <c r="B10" i="4"/>
  <c r="B10" i="3"/>
  <c r="B10" i="2"/>
  <c r="B20" i="4" l="1"/>
  <c r="B54" i="4" s="1"/>
  <c r="D62" i="1"/>
  <c r="D65" i="1"/>
  <c r="D45" i="4"/>
  <c r="D66" i="4"/>
  <c r="D63" i="4"/>
  <c r="F65" i="1"/>
  <c r="F62" i="1"/>
  <c r="E65" i="1"/>
  <c r="E62" i="1"/>
  <c r="F40" i="2"/>
  <c r="F65" i="2"/>
  <c r="F62" i="2"/>
  <c r="C40" i="3"/>
  <c r="C62" i="3"/>
  <c r="C65" i="3"/>
  <c r="G40" i="3"/>
  <c r="G62" i="3"/>
  <c r="G65" i="3"/>
  <c r="F65" i="4"/>
  <c r="F62" i="4"/>
  <c r="D40" i="1"/>
  <c r="C20" i="6"/>
  <c r="C66" i="6"/>
  <c r="C63" i="6"/>
  <c r="E41" i="7"/>
  <c r="F41" i="5"/>
  <c r="D49" i="4"/>
  <c r="B20" i="3"/>
  <c r="B54" i="3" s="1"/>
  <c r="B63" i="3"/>
  <c r="D63" i="1"/>
  <c r="D66" i="1"/>
  <c r="D62" i="2"/>
  <c r="G65" i="1"/>
  <c r="G62" i="1"/>
  <c r="G40" i="2"/>
  <c r="G62" i="2"/>
  <c r="G65" i="2"/>
  <c r="H40" i="3"/>
  <c r="H62" i="3"/>
  <c r="H65" i="3"/>
  <c r="G40" i="4"/>
  <c r="G65" i="4"/>
  <c r="G62" i="4"/>
  <c r="D33" i="4"/>
  <c r="F41" i="6"/>
  <c r="F49" i="6"/>
  <c r="H41" i="7"/>
  <c r="H49" i="7"/>
  <c r="C41" i="7"/>
  <c r="C49" i="7"/>
  <c r="E41" i="5"/>
  <c r="B18" i="1"/>
  <c r="D44" i="3"/>
  <c r="B20" i="2"/>
  <c r="B54" i="2" s="1"/>
  <c r="B63" i="2"/>
  <c r="D62" i="3"/>
  <c r="D65" i="3"/>
  <c r="D45" i="2"/>
  <c r="D66" i="2"/>
  <c r="D63" i="2"/>
  <c r="H62" i="1"/>
  <c r="H65" i="1"/>
  <c r="C40" i="2"/>
  <c r="C62" i="2"/>
  <c r="C65" i="2"/>
  <c r="H40" i="2"/>
  <c r="H62" i="2"/>
  <c r="H65" i="2"/>
  <c r="E40" i="3"/>
  <c r="E65" i="3"/>
  <c r="E62" i="3"/>
  <c r="C40" i="4"/>
  <c r="C65" i="4"/>
  <c r="C62" i="4"/>
  <c r="H65" i="4"/>
  <c r="H62" i="4"/>
  <c r="H40" i="1"/>
  <c r="H40" i="4"/>
  <c r="E49" i="6"/>
  <c r="G41" i="7"/>
  <c r="H41" i="5"/>
  <c r="C41" i="5"/>
  <c r="B17" i="1"/>
  <c r="D49" i="2"/>
  <c r="D65" i="4"/>
  <c r="D45" i="3"/>
  <c r="D66" i="3"/>
  <c r="D63" i="3"/>
  <c r="C65" i="1"/>
  <c r="C62" i="1"/>
  <c r="D11" i="2"/>
  <c r="D40" i="2" s="1"/>
  <c r="E65" i="2"/>
  <c r="E62" i="2"/>
  <c r="B11" i="3"/>
  <c r="B40" i="3" s="1"/>
  <c r="F40" i="3"/>
  <c r="F65" i="3"/>
  <c r="F62" i="3"/>
  <c r="E40" i="4"/>
  <c r="E65" i="4"/>
  <c r="E62" i="4"/>
  <c r="B13" i="2"/>
  <c r="B13" i="4"/>
  <c r="D33" i="3"/>
  <c r="F40" i="1"/>
  <c r="F40" i="4"/>
  <c r="F41" i="7"/>
  <c r="G41" i="5"/>
  <c r="B12" i="1"/>
  <c r="D12" i="5"/>
  <c r="D12" i="7"/>
  <c r="D12" i="6"/>
  <c r="D44" i="1"/>
  <c r="D41" i="2"/>
  <c r="B12" i="2"/>
  <c r="B49" i="2" s="1"/>
  <c r="D17" i="5"/>
  <c r="D17" i="7"/>
  <c r="D17" i="6"/>
  <c r="B19" i="1"/>
  <c r="B19" i="6" s="1"/>
  <c r="D19" i="6"/>
  <c r="B17" i="4"/>
  <c r="B17" i="3"/>
  <c r="B17" i="2"/>
  <c r="G11" i="5"/>
  <c r="G40" i="5" s="1"/>
  <c r="G11" i="7"/>
  <c r="G40" i="7" s="1"/>
  <c r="G11" i="6"/>
  <c r="G40" i="6" s="1"/>
  <c r="C11" i="5"/>
  <c r="C40" i="5" s="1"/>
  <c r="C11" i="7"/>
  <c r="C40" i="7" s="1"/>
  <c r="C11" i="6"/>
  <c r="C40" i="6" s="1"/>
  <c r="C13" i="5"/>
  <c r="C13" i="7"/>
  <c r="C13" i="6"/>
  <c r="C49" i="6" s="1"/>
  <c r="F13" i="5"/>
  <c r="F13" i="7"/>
  <c r="F49" i="7" s="1"/>
  <c r="F13" i="6"/>
  <c r="H13" i="6"/>
  <c r="H49" i="6" s="1"/>
  <c r="H13" i="5"/>
  <c r="H13" i="7"/>
  <c r="D35" i="1"/>
  <c r="D35" i="4"/>
  <c r="D35" i="2"/>
  <c r="D41" i="1"/>
  <c r="D41" i="4"/>
  <c r="E40" i="2"/>
  <c r="D45" i="1"/>
  <c r="B10" i="6"/>
  <c r="B10" i="5"/>
  <c r="B10" i="7"/>
  <c r="D13" i="1"/>
  <c r="B13" i="1" s="1"/>
  <c r="B12" i="3"/>
  <c r="B12" i="4"/>
  <c r="B49" i="4" s="1"/>
  <c r="D18" i="5"/>
  <c r="D18" i="7"/>
  <c r="D18" i="6"/>
  <c r="D50" i="1"/>
  <c r="D50" i="4"/>
  <c r="D51" i="4" s="1"/>
  <c r="D50" i="3"/>
  <c r="D50" i="2"/>
  <c r="D51" i="2" s="1"/>
  <c r="F11" i="6"/>
  <c r="F40" i="6" s="1"/>
  <c r="F11" i="5"/>
  <c r="F40" i="5" s="1"/>
  <c r="F11" i="7"/>
  <c r="F40" i="7" s="1"/>
  <c r="H11" i="5"/>
  <c r="H40" i="5" s="1"/>
  <c r="H11" i="7"/>
  <c r="H40" i="7" s="1"/>
  <c r="H11" i="6"/>
  <c r="H40" i="6" s="1"/>
  <c r="E11" i="5"/>
  <c r="E40" i="5" s="1"/>
  <c r="E11" i="7"/>
  <c r="E40" i="7" s="1"/>
  <c r="E11" i="6"/>
  <c r="E40" i="6" s="1"/>
  <c r="E13" i="5"/>
  <c r="E13" i="7"/>
  <c r="E49" i="7" s="1"/>
  <c r="E13" i="6"/>
  <c r="G13" i="5"/>
  <c r="G13" i="7"/>
  <c r="G49" i="7" s="1"/>
  <c r="G13" i="6"/>
  <c r="G49" i="6" s="1"/>
  <c r="D20" i="1"/>
  <c r="D20" i="4"/>
  <c r="D20" i="3"/>
  <c r="D20" i="2"/>
  <c r="D11" i="4"/>
  <c r="D40" i="4" s="1"/>
  <c r="D13" i="3"/>
  <c r="D49" i="3" s="1"/>
  <c r="G40" i="1"/>
  <c r="E40" i="1"/>
  <c r="C40" i="1"/>
  <c r="G41" i="6"/>
  <c r="E41" i="6"/>
  <c r="C41" i="6"/>
  <c r="H41" i="6"/>
  <c r="E33" i="1"/>
  <c r="E35" i="1" s="1"/>
  <c r="E44" i="1"/>
  <c r="E45" i="1"/>
  <c r="E46" i="1" s="1"/>
  <c r="E50" i="1"/>
  <c r="E17" i="5"/>
  <c r="E18" i="5"/>
  <c r="E17" i="7"/>
  <c r="E18" i="7"/>
  <c r="E17" i="6"/>
  <c r="E18" i="6"/>
  <c r="E33" i="4"/>
  <c r="E44" i="4"/>
  <c r="E45" i="4"/>
  <c r="E50" i="4"/>
  <c r="E51" i="4" s="1"/>
  <c r="E33" i="3"/>
  <c r="E35" i="3"/>
  <c r="E44" i="3"/>
  <c r="E45" i="3"/>
  <c r="E46" i="3" s="1"/>
  <c r="E50" i="3"/>
  <c r="E51" i="3"/>
  <c r="E32" i="2"/>
  <c r="E33" i="2"/>
  <c r="E58" i="2" s="1"/>
  <c r="E35" i="2"/>
  <c r="E44" i="2"/>
  <c r="E45" i="2"/>
  <c r="E50" i="2"/>
  <c r="E51" i="2" s="1"/>
  <c r="E33" i="7" l="1"/>
  <c r="E58" i="7" s="1"/>
  <c r="E63" i="7"/>
  <c r="E66" i="7"/>
  <c r="D66" i="6"/>
  <c r="D63" i="6"/>
  <c r="B62" i="3"/>
  <c r="B65" i="3"/>
  <c r="D62" i="6"/>
  <c r="D65" i="6"/>
  <c r="D35" i="3"/>
  <c r="D49" i="1"/>
  <c r="D51" i="1" s="1"/>
  <c r="E35" i="4"/>
  <c r="E58" i="4"/>
  <c r="E65" i="7"/>
  <c r="E62" i="7"/>
  <c r="D66" i="7"/>
  <c r="D63" i="7"/>
  <c r="B49" i="1"/>
  <c r="B62" i="1"/>
  <c r="B65" i="1"/>
  <c r="B63" i="1"/>
  <c r="B66" i="1"/>
  <c r="B66" i="4"/>
  <c r="E50" i="6"/>
  <c r="E63" i="6"/>
  <c r="E66" i="6"/>
  <c r="E20" i="5"/>
  <c r="E63" i="5"/>
  <c r="E66" i="5"/>
  <c r="D66" i="5"/>
  <c r="D63" i="5"/>
  <c r="D11" i="6"/>
  <c r="D40" i="6" s="1"/>
  <c r="D65" i="5"/>
  <c r="C65" i="6"/>
  <c r="D44" i="4"/>
  <c r="D46" i="4" s="1"/>
  <c r="B63" i="4"/>
  <c r="E46" i="2"/>
  <c r="E65" i="6"/>
  <c r="E62" i="6"/>
  <c r="E65" i="5"/>
  <c r="E62" i="5"/>
  <c r="B11" i="2"/>
  <c r="B40" i="2" s="1"/>
  <c r="B20" i="1"/>
  <c r="B54" i="1" s="1"/>
  <c r="B18" i="5"/>
  <c r="D11" i="7"/>
  <c r="D40" i="7" s="1"/>
  <c r="D49" i="7"/>
  <c r="D62" i="4"/>
  <c r="D44" i="2"/>
  <c r="D46" i="2" s="1"/>
  <c r="D64" i="2" s="1"/>
  <c r="B66" i="2"/>
  <c r="D46" i="3"/>
  <c r="C62" i="6"/>
  <c r="D65" i="2"/>
  <c r="B66" i="3"/>
  <c r="E50" i="5"/>
  <c r="E33" i="5"/>
  <c r="E45" i="5"/>
  <c r="E45" i="7"/>
  <c r="E32" i="3"/>
  <c r="E58" i="3" s="1"/>
  <c r="E32" i="1"/>
  <c r="E58" i="1" s="1"/>
  <c r="B13" i="6"/>
  <c r="D51" i="3"/>
  <c r="D50" i="6"/>
  <c r="D33" i="6"/>
  <c r="D20" i="6"/>
  <c r="D45" i="6"/>
  <c r="D20" i="5"/>
  <c r="D45" i="5"/>
  <c r="D50" i="5"/>
  <c r="D33" i="5"/>
  <c r="B41" i="4"/>
  <c r="D11" i="5"/>
  <c r="D40" i="5" s="1"/>
  <c r="D64" i="4"/>
  <c r="D41" i="6"/>
  <c r="D41" i="5"/>
  <c r="E16" i="5"/>
  <c r="E32" i="5" s="1"/>
  <c r="E32" i="4"/>
  <c r="E33" i="6"/>
  <c r="E58" i="6" s="1"/>
  <c r="E20" i="6"/>
  <c r="E50" i="7"/>
  <c r="E51" i="7" s="1"/>
  <c r="E20" i="7"/>
  <c r="E64" i="1"/>
  <c r="B11" i="7"/>
  <c r="B40" i="7" s="1"/>
  <c r="B40" i="1"/>
  <c r="B13" i="3"/>
  <c r="B13" i="7" s="1"/>
  <c r="B11" i="4"/>
  <c r="B40" i="4" s="1"/>
  <c r="D64" i="3"/>
  <c r="D33" i="7"/>
  <c r="D20" i="7"/>
  <c r="D45" i="7"/>
  <c r="D50" i="7"/>
  <c r="B41" i="3"/>
  <c r="D13" i="6"/>
  <c r="D13" i="5"/>
  <c r="D49" i="5" s="1"/>
  <c r="D13" i="7"/>
  <c r="B41" i="2"/>
  <c r="D46" i="1"/>
  <c r="D64" i="1" s="1"/>
  <c r="D44" i="7"/>
  <c r="D41" i="7"/>
  <c r="B12" i="5"/>
  <c r="B41" i="5" s="1"/>
  <c r="B12" i="7"/>
  <c r="B49" i="7" s="1"/>
  <c r="B12" i="6"/>
  <c r="B49" i="6" s="1"/>
  <c r="B41" i="1"/>
  <c r="E45" i="6"/>
  <c r="E64" i="2"/>
  <c r="E46" i="4"/>
  <c r="E64" i="4" s="1"/>
  <c r="E64" i="3"/>
  <c r="E51" i="1"/>
  <c r="E49" i="5"/>
  <c r="E51" i="5" s="1"/>
  <c r="E44" i="5"/>
  <c r="E46" i="5" s="1"/>
  <c r="E16" i="6"/>
  <c r="E32" i="6" s="1"/>
  <c r="E16" i="7"/>
  <c r="E32" i="7" s="1"/>
  <c r="B65" i="4" l="1"/>
  <c r="E35" i="5"/>
  <c r="E58" i="5"/>
  <c r="B63" i="5"/>
  <c r="B66" i="5"/>
  <c r="D62" i="5"/>
  <c r="B62" i="4"/>
  <c r="B65" i="2"/>
  <c r="D65" i="7"/>
  <c r="B11" i="6"/>
  <c r="B40" i="6" s="1"/>
  <c r="D44" i="6"/>
  <c r="D46" i="6" s="1"/>
  <c r="B62" i="2"/>
  <c r="D49" i="6"/>
  <c r="D51" i="6" s="1"/>
  <c r="D62" i="7"/>
  <c r="B49" i="3"/>
  <c r="D51" i="7"/>
  <c r="D44" i="5"/>
  <c r="D46" i="7"/>
  <c r="D64" i="7" s="1"/>
  <c r="B41" i="7"/>
  <c r="D35" i="7"/>
  <c r="D35" i="5"/>
  <c r="D64" i="6"/>
  <c r="B13" i="5"/>
  <c r="B41" i="6"/>
  <c r="B11" i="5"/>
  <c r="B40" i="5" s="1"/>
  <c r="D46" i="5"/>
  <c r="D64" i="5" s="1"/>
  <c r="D51" i="5"/>
  <c r="D35" i="6"/>
  <c r="E64" i="5"/>
  <c r="E35" i="7"/>
  <c r="E44" i="7"/>
  <c r="E46" i="7" s="1"/>
  <c r="E35" i="6"/>
  <c r="E51" i="6"/>
  <c r="E44" i="6"/>
  <c r="E46" i="6" s="1"/>
  <c r="D16" i="2"/>
  <c r="B16" i="2" s="1"/>
  <c r="D16" i="1"/>
  <c r="B16" i="1" s="1"/>
  <c r="D16" i="6" l="1"/>
  <c r="D32" i="6" s="1"/>
  <c r="D58" i="6" s="1"/>
  <c r="D16" i="5"/>
  <c r="D32" i="5" s="1"/>
  <c r="D58" i="5" s="1"/>
  <c r="D16" i="7"/>
  <c r="D32" i="7" s="1"/>
  <c r="D58" i="7" s="1"/>
  <c r="D32" i="1"/>
  <c r="D32" i="2"/>
  <c r="D58" i="2" s="1"/>
  <c r="D32" i="3"/>
  <c r="D58" i="3" s="1"/>
  <c r="D32" i="4"/>
  <c r="D58" i="4" s="1"/>
  <c r="E64" i="7"/>
  <c r="E64" i="6"/>
  <c r="B69" i="1"/>
  <c r="C16" i="5"/>
  <c r="B16" i="5"/>
  <c r="C16" i="7"/>
  <c r="B16" i="7"/>
  <c r="C16" i="6"/>
  <c r="B16" i="6"/>
  <c r="H32" i="1"/>
  <c r="H50" i="4"/>
  <c r="G50" i="4"/>
  <c r="F50" i="4"/>
  <c r="C50" i="4"/>
  <c r="H45" i="4"/>
  <c r="G45" i="4"/>
  <c r="F45" i="4"/>
  <c r="C45" i="4"/>
  <c r="H50" i="3"/>
  <c r="G50" i="3"/>
  <c r="F50" i="3"/>
  <c r="C50" i="3"/>
  <c r="H45" i="3"/>
  <c r="G45" i="3"/>
  <c r="F45" i="3"/>
  <c r="C45" i="3"/>
  <c r="C50" i="2"/>
  <c r="F50" i="2"/>
  <c r="G50" i="2"/>
  <c r="H50" i="2"/>
  <c r="C45" i="2"/>
  <c r="F45" i="2"/>
  <c r="G45" i="2"/>
  <c r="H45" i="2"/>
  <c r="C50" i="1"/>
  <c r="F50" i="1"/>
  <c r="G50" i="1"/>
  <c r="H50" i="1"/>
  <c r="C45" i="1"/>
  <c r="F45" i="1"/>
  <c r="G45" i="1"/>
  <c r="H45" i="1"/>
  <c r="C17" i="5"/>
  <c r="F17" i="5"/>
  <c r="G17" i="5"/>
  <c r="H17" i="5"/>
  <c r="C17" i="7"/>
  <c r="F17" i="7"/>
  <c r="G17" i="7"/>
  <c r="H17" i="7"/>
  <c r="F17" i="6"/>
  <c r="G17" i="6"/>
  <c r="H17" i="6"/>
  <c r="F65" i="6" l="1"/>
  <c r="F62" i="6"/>
  <c r="C62" i="7"/>
  <c r="C65" i="7"/>
  <c r="C62" i="5"/>
  <c r="C65" i="5"/>
  <c r="H62" i="7"/>
  <c r="H65" i="7"/>
  <c r="H62" i="5"/>
  <c r="H65" i="5"/>
  <c r="H62" i="6"/>
  <c r="H65" i="6"/>
  <c r="G62" i="7"/>
  <c r="G65" i="7"/>
  <c r="G62" i="5"/>
  <c r="G65" i="5"/>
  <c r="G62" i="6"/>
  <c r="G65" i="6"/>
  <c r="F65" i="7"/>
  <c r="F62" i="7"/>
  <c r="F65" i="5"/>
  <c r="F62" i="5"/>
  <c r="D58" i="1"/>
  <c r="G16" i="6"/>
  <c r="G16" i="7"/>
  <c r="G16" i="5"/>
  <c r="H16" i="6"/>
  <c r="F16" i="6"/>
  <c r="F32" i="6" s="1"/>
  <c r="H16" i="7"/>
  <c r="F16" i="7"/>
  <c r="H16" i="5"/>
  <c r="F16" i="5"/>
  <c r="B17" i="6" l="1"/>
  <c r="H32" i="6"/>
  <c r="G32" i="6"/>
  <c r="C32" i="6"/>
  <c r="B32" i="6"/>
  <c r="B69" i="6"/>
  <c r="H18" i="6"/>
  <c r="G18" i="6"/>
  <c r="F18" i="6"/>
  <c r="G20" i="6" l="1"/>
  <c r="G66" i="6"/>
  <c r="G63" i="6"/>
  <c r="H20" i="6"/>
  <c r="H66" i="6"/>
  <c r="H63" i="6"/>
  <c r="F20" i="6"/>
  <c r="F63" i="6"/>
  <c r="F66" i="6"/>
  <c r="B62" i="6"/>
  <c r="B65" i="6"/>
  <c r="C33" i="6"/>
  <c r="C58" i="6" s="1"/>
  <c r="C45" i="6"/>
  <c r="C50" i="6"/>
  <c r="F33" i="6"/>
  <c r="F58" i="6" s="1"/>
  <c r="F45" i="6"/>
  <c r="F50" i="6"/>
  <c r="H33" i="6"/>
  <c r="H58" i="6" s="1"/>
  <c r="H45" i="6"/>
  <c r="H50" i="6"/>
  <c r="G50" i="6"/>
  <c r="G45" i="6"/>
  <c r="G33" i="6"/>
  <c r="G58" i="6" s="1"/>
  <c r="B17" i="7" l="1"/>
  <c r="B17" i="5"/>
  <c r="C18" i="7"/>
  <c r="F18" i="7"/>
  <c r="G18" i="7"/>
  <c r="H18" i="7"/>
  <c r="C18" i="5"/>
  <c r="F18" i="5"/>
  <c r="G18" i="5"/>
  <c r="H18" i="5"/>
  <c r="H32" i="7"/>
  <c r="G32" i="7"/>
  <c r="F32" i="7"/>
  <c r="C32" i="7"/>
  <c r="B32" i="7"/>
  <c r="B69" i="7"/>
  <c r="F20" i="5" l="1"/>
  <c r="F63" i="5"/>
  <c r="F66" i="5"/>
  <c r="F63" i="7"/>
  <c r="F66" i="7"/>
  <c r="C20" i="5"/>
  <c r="C66" i="5"/>
  <c r="C63" i="5"/>
  <c r="C66" i="7"/>
  <c r="C63" i="7"/>
  <c r="C33" i="7"/>
  <c r="C58" i="7" s="1"/>
  <c r="H20" i="5"/>
  <c r="H66" i="5"/>
  <c r="H63" i="5"/>
  <c r="H33" i="7"/>
  <c r="H58" i="7" s="1"/>
  <c r="H66" i="7"/>
  <c r="H63" i="7"/>
  <c r="B62" i="5"/>
  <c r="B65" i="5"/>
  <c r="F33" i="7"/>
  <c r="F58" i="7" s="1"/>
  <c r="G20" i="5"/>
  <c r="G66" i="5"/>
  <c r="G63" i="5"/>
  <c r="G66" i="7"/>
  <c r="G63" i="7"/>
  <c r="B62" i="7"/>
  <c r="B65" i="7"/>
  <c r="G50" i="7"/>
  <c r="G51" i="7" s="1"/>
  <c r="G20" i="7"/>
  <c r="C50" i="7"/>
  <c r="C51" i="7" s="1"/>
  <c r="C20" i="7"/>
  <c r="H20" i="7"/>
  <c r="H50" i="7"/>
  <c r="H51" i="7" s="1"/>
  <c r="F20" i="7"/>
  <c r="F50" i="7"/>
  <c r="F51" i="7" s="1"/>
  <c r="H50" i="5"/>
  <c r="H45" i="5"/>
  <c r="F50" i="5"/>
  <c r="F45" i="5"/>
  <c r="C50" i="5"/>
  <c r="C45" i="5"/>
  <c r="G45" i="7"/>
  <c r="G50" i="5"/>
  <c r="G45" i="5"/>
  <c r="B70" i="5"/>
  <c r="H45" i="7"/>
  <c r="F45" i="7"/>
  <c r="C45" i="7"/>
  <c r="G33" i="7"/>
  <c r="G58" i="7" s="1"/>
  <c r="H32" i="5" l="1"/>
  <c r="G32" i="5"/>
  <c r="F32" i="5"/>
  <c r="C32" i="5"/>
  <c r="B32" i="5"/>
  <c r="B69" i="5"/>
  <c r="H33" i="5"/>
  <c r="H58" i="5" s="1"/>
  <c r="F33" i="5"/>
  <c r="F58" i="5" s="1"/>
  <c r="C33" i="5"/>
  <c r="H33" i="4"/>
  <c r="G33" i="4"/>
  <c r="F33" i="4"/>
  <c r="C33" i="4"/>
  <c r="H32" i="4"/>
  <c r="G32" i="4"/>
  <c r="F32" i="4"/>
  <c r="C32" i="4"/>
  <c r="B69" i="4"/>
  <c r="E10" i="4"/>
  <c r="E57" i="4" s="1"/>
  <c r="H33" i="3"/>
  <c r="G33" i="3"/>
  <c r="F33" i="3"/>
  <c r="C33" i="3"/>
  <c r="H32" i="3"/>
  <c r="G32" i="3"/>
  <c r="F32" i="3"/>
  <c r="C32" i="3"/>
  <c r="B32" i="3"/>
  <c r="B69" i="3"/>
  <c r="E10" i="3"/>
  <c r="E57" i="3" s="1"/>
  <c r="H33" i="2"/>
  <c r="H58" i="2" s="1"/>
  <c r="G33" i="2"/>
  <c r="F33" i="2"/>
  <c r="C33" i="2"/>
  <c r="H32" i="2"/>
  <c r="G32" i="2"/>
  <c r="F32" i="2"/>
  <c r="C32" i="2"/>
  <c r="B32" i="2"/>
  <c r="B69" i="2"/>
  <c r="E10" i="2"/>
  <c r="E57" i="2" s="1"/>
  <c r="H33" i="1"/>
  <c r="H58" i="1" s="1"/>
  <c r="G33" i="1"/>
  <c r="F33" i="1"/>
  <c r="C33" i="1"/>
  <c r="G32" i="1"/>
  <c r="F32" i="1"/>
  <c r="C32" i="1"/>
  <c r="B32" i="1"/>
  <c r="E10" i="1"/>
  <c r="C58" i="3" l="1"/>
  <c r="G58" i="4"/>
  <c r="C58" i="2"/>
  <c r="F58" i="3"/>
  <c r="H58" i="4"/>
  <c r="G58" i="2"/>
  <c r="H58" i="3"/>
  <c r="F58" i="4"/>
  <c r="F58" i="2"/>
  <c r="G58" i="3"/>
  <c r="C58" i="4"/>
  <c r="C58" i="5"/>
  <c r="E10" i="5"/>
  <c r="E57" i="5" s="1"/>
  <c r="E10" i="7"/>
  <c r="E57" i="7" s="1"/>
  <c r="E10" i="6"/>
  <c r="E57" i="6" s="1"/>
  <c r="E34" i="2"/>
  <c r="E59" i="2" s="1"/>
  <c r="E34" i="3"/>
  <c r="E59" i="3" s="1"/>
  <c r="E34" i="4"/>
  <c r="E59" i="4" s="1"/>
  <c r="E57" i="1"/>
  <c r="E34" i="1"/>
  <c r="E59" i="1" s="1"/>
  <c r="B57" i="3"/>
  <c r="B44" i="3"/>
  <c r="F51" i="1"/>
  <c r="F44" i="1"/>
  <c r="F46" i="1" s="1"/>
  <c r="F35" i="5"/>
  <c r="H51" i="1"/>
  <c r="H44" i="1"/>
  <c r="H46" i="1" s="1"/>
  <c r="C10" i="1"/>
  <c r="H10" i="1"/>
  <c r="F10" i="1"/>
  <c r="D10" i="1" s="1"/>
  <c r="G10" i="1"/>
  <c r="G34" i="1" s="1"/>
  <c r="B34" i="6"/>
  <c r="B34" i="7"/>
  <c r="B34" i="5"/>
  <c r="C57" i="1"/>
  <c r="C51" i="1"/>
  <c r="C44" i="1"/>
  <c r="C46" i="1" s="1"/>
  <c r="G51" i="1"/>
  <c r="G44" i="1"/>
  <c r="G46" i="1" s="1"/>
  <c r="B34" i="1"/>
  <c r="F34" i="1"/>
  <c r="C10" i="2"/>
  <c r="G10" i="2"/>
  <c r="G57" i="2" s="1"/>
  <c r="H10" i="2"/>
  <c r="F10" i="2"/>
  <c r="C51" i="2"/>
  <c r="C44" i="2"/>
  <c r="C46" i="2" s="1"/>
  <c r="C64" i="2" s="1"/>
  <c r="G51" i="2"/>
  <c r="G44" i="2"/>
  <c r="G46" i="2" s="1"/>
  <c r="B45" i="2"/>
  <c r="B70" i="2"/>
  <c r="B50" i="2"/>
  <c r="F34" i="2"/>
  <c r="F35" i="2"/>
  <c r="H35" i="2"/>
  <c r="F51" i="3"/>
  <c r="F44" i="3"/>
  <c r="F46" i="3" s="1"/>
  <c r="H51" i="3"/>
  <c r="H44" i="3"/>
  <c r="H46" i="3" s="1"/>
  <c r="H10" i="4"/>
  <c r="F10" i="4"/>
  <c r="G10" i="4"/>
  <c r="G57" i="4" s="1"/>
  <c r="C10" i="4"/>
  <c r="C57" i="4" s="1"/>
  <c r="C51" i="4"/>
  <c r="C44" i="4"/>
  <c r="C46" i="4" s="1"/>
  <c r="G51" i="4"/>
  <c r="G44" i="4"/>
  <c r="G46" i="4" s="1"/>
  <c r="B50" i="4"/>
  <c r="B45" i="4"/>
  <c r="B70" i="4"/>
  <c r="B44" i="2"/>
  <c r="B46" i="2" s="1"/>
  <c r="B57" i="2"/>
  <c r="F51" i="2"/>
  <c r="F44" i="2"/>
  <c r="F46" i="2" s="1"/>
  <c r="H51" i="2"/>
  <c r="H44" i="2"/>
  <c r="H46" i="2" s="1"/>
  <c r="C35" i="2"/>
  <c r="G35" i="2"/>
  <c r="G10" i="3"/>
  <c r="C10" i="3"/>
  <c r="H10" i="3"/>
  <c r="H57" i="3" s="1"/>
  <c r="F10" i="3"/>
  <c r="F57" i="3" s="1"/>
  <c r="C51" i="3"/>
  <c r="C44" i="3"/>
  <c r="C46" i="3" s="1"/>
  <c r="C64" i="3" s="1"/>
  <c r="G51" i="3"/>
  <c r="G44" i="3"/>
  <c r="G46" i="3" s="1"/>
  <c r="B50" i="3"/>
  <c r="B45" i="3"/>
  <c r="B70" i="3"/>
  <c r="B57" i="4"/>
  <c r="B51" i="4"/>
  <c r="B44" i="4"/>
  <c r="F51" i="4"/>
  <c r="F44" i="4"/>
  <c r="F46" i="4" s="1"/>
  <c r="H51" i="4"/>
  <c r="H44" i="4"/>
  <c r="H46" i="4" s="1"/>
  <c r="C34" i="4"/>
  <c r="G34" i="4"/>
  <c r="B70" i="1"/>
  <c r="B18" i="6"/>
  <c r="B18" i="7"/>
  <c r="B34" i="4"/>
  <c r="B34" i="3"/>
  <c r="B34" i="2"/>
  <c r="G58" i="1"/>
  <c r="C58" i="1"/>
  <c r="F58" i="1"/>
  <c r="C35" i="5"/>
  <c r="H35" i="5"/>
  <c r="B20" i="5"/>
  <c r="B54" i="5" s="1"/>
  <c r="B33" i="5"/>
  <c r="G33" i="5"/>
  <c r="G58" i="5" s="1"/>
  <c r="B45" i="5"/>
  <c r="B50" i="5"/>
  <c r="B33" i="4"/>
  <c r="B58" i="4" s="1"/>
  <c r="C35" i="4"/>
  <c r="C59" i="4" s="1"/>
  <c r="F35" i="4"/>
  <c r="H35" i="4"/>
  <c r="G35" i="4"/>
  <c r="G59" i="4" s="1"/>
  <c r="B33" i="3"/>
  <c r="B58" i="3" s="1"/>
  <c r="C35" i="3"/>
  <c r="F35" i="3"/>
  <c r="H35" i="3"/>
  <c r="G35" i="3"/>
  <c r="B33" i="2"/>
  <c r="B58" i="2" s="1"/>
  <c r="B33" i="1"/>
  <c r="C35" i="1"/>
  <c r="F35" i="1"/>
  <c r="H35" i="1"/>
  <c r="B45" i="1"/>
  <c r="G35" i="1"/>
  <c r="B50" i="1"/>
  <c r="C34" i="3" l="1"/>
  <c r="C57" i="3"/>
  <c r="D10" i="4"/>
  <c r="D57" i="4" s="1"/>
  <c r="F57" i="4"/>
  <c r="C34" i="2"/>
  <c r="C59" i="2" s="1"/>
  <c r="C57" i="2"/>
  <c r="F59" i="3"/>
  <c r="G34" i="3"/>
  <c r="G57" i="3"/>
  <c r="H34" i="4"/>
  <c r="H57" i="4"/>
  <c r="G57" i="1"/>
  <c r="C59" i="3"/>
  <c r="B63" i="7"/>
  <c r="B66" i="7"/>
  <c r="H59" i="2"/>
  <c r="H34" i="2"/>
  <c r="H57" i="2"/>
  <c r="H59" i="4"/>
  <c r="D10" i="2"/>
  <c r="D57" i="2" s="1"/>
  <c r="F57" i="2"/>
  <c r="G59" i="3"/>
  <c r="B63" i="6"/>
  <c r="B66" i="6"/>
  <c r="B46" i="4"/>
  <c r="F59" i="2"/>
  <c r="D34" i="4"/>
  <c r="D59" i="4" s="1"/>
  <c r="D34" i="2"/>
  <c r="D59" i="2" s="1"/>
  <c r="G10" i="5"/>
  <c r="G57" i="5" s="1"/>
  <c r="G10" i="7"/>
  <c r="G57" i="7" s="1"/>
  <c r="G10" i="6"/>
  <c r="G57" i="6" s="1"/>
  <c r="H10" i="6"/>
  <c r="H57" i="6" s="1"/>
  <c r="H10" i="5"/>
  <c r="H10" i="7"/>
  <c r="H57" i="7" s="1"/>
  <c r="G59" i="1"/>
  <c r="F59" i="1"/>
  <c r="H34" i="3"/>
  <c r="H59" i="3" s="1"/>
  <c r="G34" i="2"/>
  <c r="G59" i="2" s="1"/>
  <c r="F34" i="4"/>
  <c r="F59" i="4" s="1"/>
  <c r="F10" i="5"/>
  <c r="F10" i="7"/>
  <c r="F10" i="6"/>
  <c r="C10" i="5"/>
  <c r="C10" i="7"/>
  <c r="C10" i="6"/>
  <c r="C57" i="6" s="1"/>
  <c r="D10" i="3"/>
  <c r="D57" i="3" s="1"/>
  <c r="C64" i="1"/>
  <c r="F34" i="3"/>
  <c r="E34" i="6"/>
  <c r="E59" i="6" s="1"/>
  <c r="E34" i="5"/>
  <c r="E59" i="5" s="1"/>
  <c r="E34" i="7"/>
  <c r="E59" i="7" s="1"/>
  <c r="G64" i="3"/>
  <c r="G64" i="4"/>
  <c r="G44" i="5"/>
  <c r="G46" i="5" s="1"/>
  <c r="G49" i="5"/>
  <c r="G51" i="5" s="1"/>
  <c r="G44" i="6"/>
  <c r="G46" i="6" s="1"/>
  <c r="G51" i="6"/>
  <c r="G35" i="6"/>
  <c r="G64" i="1"/>
  <c r="C35" i="7"/>
  <c r="C44" i="7"/>
  <c r="C46" i="7" s="1"/>
  <c r="H49" i="5"/>
  <c r="H51" i="5" s="1"/>
  <c r="H44" i="5"/>
  <c r="H46" i="5" s="1"/>
  <c r="H51" i="6"/>
  <c r="H44" i="6"/>
  <c r="H46" i="6" s="1"/>
  <c r="H35" i="6"/>
  <c r="H64" i="1"/>
  <c r="F44" i="7"/>
  <c r="F46" i="7" s="1"/>
  <c r="F35" i="7"/>
  <c r="F57" i="1"/>
  <c r="B51" i="3"/>
  <c r="H64" i="4"/>
  <c r="F64" i="4"/>
  <c r="H64" i="2"/>
  <c r="F64" i="2"/>
  <c r="B64" i="4"/>
  <c r="C64" i="4"/>
  <c r="H64" i="3"/>
  <c r="F64" i="3"/>
  <c r="B51" i="2"/>
  <c r="B64" i="2"/>
  <c r="G64" i="2"/>
  <c r="G44" i="7"/>
  <c r="G46" i="7" s="1"/>
  <c r="G35" i="7"/>
  <c r="G59" i="7" s="1"/>
  <c r="C49" i="5"/>
  <c r="C51" i="5" s="1"/>
  <c r="C44" i="5"/>
  <c r="C46" i="5" s="1"/>
  <c r="C44" i="6"/>
  <c r="C46" i="6" s="1"/>
  <c r="C51" i="6"/>
  <c r="C35" i="6"/>
  <c r="G34" i="5"/>
  <c r="G34" i="7"/>
  <c r="G34" i="6"/>
  <c r="H34" i="7"/>
  <c r="H34" i="6"/>
  <c r="H34" i="1"/>
  <c r="H59" i="1" s="1"/>
  <c r="C34" i="1"/>
  <c r="C59" i="1" s="1"/>
  <c r="H44" i="7"/>
  <c r="H46" i="7" s="1"/>
  <c r="H35" i="7"/>
  <c r="H59" i="7" s="1"/>
  <c r="H57" i="1"/>
  <c r="F44" i="5"/>
  <c r="F46" i="5" s="1"/>
  <c r="F49" i="5"/>
  <c r="F51" i="5" s="1"/>
  <c r="F64" i="5"/>
  <c r="F44" i="6"/>
  <c r="F46" i="6" s="1"/>
  <c r="F51" i="6"/>
  <c r="F64" i="6"/>
  <c r="F35" i="6"/>
  <c r="F64" i="1"/>
  <c r="B46" i="3"/>
  <c r="B64" i="3" s="1"/>
  <c r="B70" i="6"/>
  <c r="B20" i="6"/>
  <c r="B54" i="6" s="1"/>
  <c r="B45" i="6"/>
  <c r="B50" i="6"/>
  <c r="B33" i="6"/>
  <c r="B70" i="7"/>
  <c r="B50" i="7"/>
  <c r="B33" i="7"/>
  <c r="B45" i="7"/>
  <c r="B20" i="7"/>
  <c r="B54" i="7" s="1"/>
  <c r="G35" i="5"/>
  <c r="B58" i="5"/>
  <c r="B35" i="5"/>
  <c r="B59" i="5" s="1"/>
  <c r="B35" i="4"/>
  <c r="B59" i="4" s="1"/>
  <c r="B35" i="3"/>
  <c r="B59" i="3" s="1"/>
  <c r="B35" i="2"/>
  <c r="B59" i="2" s="1"/>
  <c r="B58" i="1"/>
  <c r="B35" i="1"/>
  <c r="B59" i="1" s="1"/>
  <c r="B44" i="1"/>
  <c r="B46" i="1" s="1"/>
  <c r="B57" i="1"/>
  <c r="B51" i="1"/>
  <c r="F59" i="6" l="1"/>
  <c r="F34" i="7"/>
  <c r="F57" i="7"/>
  <c r="H34" i="5"/>
  <c r="H59" i="5" s="1"/>
  <c r="H57" i="5"/>
  <c r="G59" i="5"/>
  <c r="C34" i="7"/>
  <c r="C59" i="7" s="1"/>
  <c r="C57" i="7"/>
  <c r="F34" i="5"/>
  <c r="F59" i="5" s="1"/>
  <c r="F57" i="5"/>
  <c r="H59" i="6"/>
  <c r="C34" i="5"/>
  <c r="C59" i="5" s="1"/>
  <c r="C57" i="5"/>
  <c r="F59" i="7"/>
  <c r="C34" i="6"/>
  <c r="C59" i="6" s="1"/>
  <c r="G59" i="6"/>
  <c r="F34" i="6"/>
  <c r="F57" i="6"/>
  <c r="D10" i="6"/>
  <c r="D57" i="6" s="1"/>
  <c r="D10" i="5"/>
  <c r="D57" i="5" s="1"/>
  <c r="D10" i="7"/>
  <c r="D57" i="7" s="1"/>
  <c r="D57" i="1"/>
  <c r="D34" i="1"/>
  <c r="D59" i="1" s="1"/>
  <c r="C64" i="6"/>
  <c r="D34" i="3"/>
  <c r="D59" i="3" s="1"/>
  <c r="G64" i="5"/>
  <c r="C64" i="7"/>
  <c r="B57" i="5"/>
  <c r="G64" i="7"/>
  <c r="G64" i="6"/>
  <c r="H64" i="7"/>
  <c r="C64" i="5"/>
  <c r="F64" i="7"/>
  <c r="H64" i="6"/>
  <c r="H64" i="5"/>
  <c r="B49" i="5"/>
  <c r="B51" i="5" s="1"/>
  <c r="B44" i="5"/>
  <c r="B46" i="5" s="1"/>
  <c r="B64" i="5" s="1"/>
  <c r="B35" i="7"/>
  <c r="B59" i="7" s="1"/>
  <c r="B58" i="7"/>
  <c r="B44" i="6"/>
  <c r="B46" i="6" s="1"/>
  <c r="B64" i="6" s="1"/>
  <c r="B57" i="6"/>
  <c r="B51" i="6"/>
  <c r="B58" i="6"/>
  <c r="B35" i="6"/>
  <c r="B59" i="6" s="1"/>
  <c r="B44" i="7"/>
  <c r="B46" i="7" s="1"/>
  <c r="B64" i="7" s="1"/>
  <c r="B51" i="7"/>
  <c r="B57" i="7"/>
  <c r="B64" i="1"/>
  <c r="D34" i="7" l="1"/>
  <c r="D59" i="7" s="1"/>
  <c r="D34" i="6"/>
  <c r="D59" i="6" s="1"/>
  <c r="D34" i="5"/>
  <c r="D59" i="5" s="1"/>
</calcChain>
</file>

<file path=xl/comments1.xml><?xml version="1.0" encoding="utf-8"?>
<comments xmlns="http://schemas.openxmlformats.org/spreadsheetml/2006/main">
  <authors>
    <author>Diego Astorga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Asumiendo que la importancia relativa programada en el gasto es igual que lo efectivo en beneficiarios
Fuente: Cuadros presupuestarios de comedores _becas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Pag 37 PAO 2011</t>
        </r>
      </text>
    </comment>
  </commentList>
</comments>
</file>

<file path=xl/comments2.xml><?xml version="1.0" encoding="utf-8"?>
<comments xmlns="http://schemas.openxmlformats.org/spreadsheetml/2006/main">
  <authors>
    <author>Diego Astorga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</commentList>
</comments>
</file>

<file path=xl/comments3.xml><?xml version="1.0" encoding="utf-8"?>
<comments xmlns="http://schemas.openxmlformats.org/spreadsheetml/2006/main">
  <authors>
    <author>Daniel</author>
    <author>Diego Astorga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</commentList>
</comments>
</file>

<file path=xl/comments4.xml><?xml version="1.0" encoding="utf-8"?>
<comments xmlns="http://schemas.openxmlformats.org/spreadsheetml/2006/main">
  <authors>
    <author>Daniel</author>
    <author>Diego Astorga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</commentList>
</comments>
</file>

<file path=xl/comments5.xml><?xml version="1.0" encoding="utf-8"?>
<comments xmlns="http://schemas.openxmlformats.org/spreadsheetml/2006/main">
  <authors>
    <author>Daniel</author>
    <author>Diego Astorga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</commentList>
</comments>
</file>

<file path=xl/comments6.xml><?xml version="1.0" encoding="utf-8"?>
<comments xmlns="http://schemas.openxmlformats.org/spreadsheetml/2006/main">
  <authors>
    <author>Daniel</author>
    <author>Diego Astorga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Fuente: INFORME TOTALES PAGADOS 1ER TRIMESTRE 2011 (documento en excel)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</commentList>
</comments>
</file>

<file path=xl/comments7.xml><?xml version="1.0" encoding="utf-8"?>
<comments xmlns="http://schemas.openxmlformats.org/spreadsheetml/2006/main">
  <authors>
    <author>Daniel</author>
    <author>Diego Astorga</author>
    <author>catherine.mata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El número de beneficiarios atendidos se registra tomando en cuenta la cantidad de personas totales a las que se les suministró el servicio sin importar si eran o no las mismas.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Calculado a partir del gasto presupuestado del 2010 y del gasto efectivo anual del 2010
</t>
        </r>
      </text>
    </comment>
    <comment ref="B17" authorId="2" shapeId="0">
      <text>
        <r>
          <rPr>
            <b/>
            <sz val="9"/>
            <color indexed="81"/>
            <rFont val="Tahoma"/>
            <family val="2"/>
          </rPr>
          <t>catherine.mata:</t>
        </r>
        <r>
          <rPr>
            <sz val="9"/>
            <color indexed="81"/>
            <rFont val="Tahoma"/>
            <family val="2"/>
          </rPr>
          <t xml:space="preserve">
PAO 2011, pag 32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Se obtuvo del informe totales pagados del primer trimestre 2011
</t>
        </r>
      </text>
    </comment>
    <comment ref="B23" authorId="2" shapeId="0">
      <text>
        <r>
          <rPr>
            <b/>
            <sz val="9"/>
            <color indexed="81"/>
            <rFont val="Tahoma"/>
            <family val="2"/>
          </rPr>
          <t>catherine.mata:</t>
        </r>
        <r>
          <rPr>
            <sz val="9"/>
            <color indexed="81"/>
            <rFont val="Tahoma"/>
            <family val="2"/>
          </rPr>
          <t xml:space="preserve">
PAO 2011, pag 32</t>
        </r>
      </text>
    </comment>
  </commentList>
</comments>
</file>

<file path=xl/sharedStrings.xml><?xml version="1.0" encoding="utf-8"?>
<sst xmlns="http://schemas.openxmlformats.org/spreadsheetml/2006/main" count="505" uniqueCount="132">
  <si>
    <t>Indicadores propuestos aplicados a PANEA. Primer trimestre 2011</t>
  </si>
  <si>
    <t>Indicador</t>
  </si>
  <si>
    <t>Total programa</t>
  </si>
  <si>
    <t>Productos</t>
  </si>
  <si>
    <t>Primaria</t>
  </si>
  <si>
    <t>Edu. Especial</t>
  </si>
  <si>
    <t>Edu. Nocturna</t>
  </si>
  <si>
    <t>Insumos</t>
  </si>
  <si>
    <t xml:space="preserve">Beneficiarios </t>
  </si>
  <si>
    <t>Efectivos 1T 2010</t>
  </si>
  <si>
    <t>Programados 1T 2011</t>
  </si>
  <si>
    <t>Efectivos 1T 2011</t>
  </si>
  <si>
    <t>Programados año 2011</t>
  </si>
  <si>
    <t>Gasto FODESAF</t>
  </si>
  <si>
    <t>En transferencias 1T 2011</t>
  </si>
  <si>
    <t>Ingresos FODESAF</t>
  </si>
  <si>
    <t>Otros insumos</t>
  </si>
  <si>
    <t>IPC (1T 2010)</t>
  </si>
  <si>
    <t>IPC (1T 2011)</t>
  </si>
  <si>
    <t>Población objetivo</t>
  </si>
  <si>
    <t>Cálculos intermedios</t>
  </si>
  <si>
    <t>Gasto efectivo real 1T 2010</t>
  </si>
  <si>
    <t>Gasto efectivo real 1T 2011</t>
  </si>
  <si>
    <t>Gasto efectivo real por beneficiario 1T 2010</t>
  </si>
  <si>
    <t>Gasto efectivo real por beneficiario 1T 2011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</si>
  <si>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</si>
  <si>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</si>
  <si>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</si>
  <si>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</si>
  <si>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</si>
  <si>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</si>
  <si>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</si>
  <si>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</si>
  <si>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</si>
  <si>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</si>
  <si>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</si>
  <si>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</si>
  <si>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</si>
  <si>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</si>
  <si>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</si>
  <si>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</si>
  <si>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</si>
  <si>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</si>
  <si>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</si>
  <si>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</si>
  <si>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</si>
  <si>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</si>
  <si>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Indicadores propuestos aplicados a PANEA. Segundo trimestre 2011</t>
  </si>
  <si>
    <t>Efectivos 2T 2010</t>
  </si>
  <si>
    <t>Programados 2T 2011</t>
  </si>
  <si>
    <t>Efectivos 2T 2011</t>
  </si>
  <si>
    <t>En transferencias 2T 2011</t>
  </si>
  <si>
    <t>IPC (2T 2010)</t>
  </si>
  <si>
    <t>IPC (2T 2011)</t>
  </si>
  <si>
    <t>Gasto efectivo real 2T 2010</t>
  </si>
  <si>
    <t>Gasto efectivo real 2T 2011</t>
  </si>
  <si>
    <t>Gasto efectivo real por beneficiario 2T 2010</t>
  </si>
  <si>
    <t>Gasto efectivo real por beneficiario 2T 2011</t>
  </si>
  <si>
    <t>Fuentes:</t>
  </si>
  <si>
    <t>PAO PANEA 2011</t>
  </si>
  <si>
    <t>Indicadores propuestos aplicados a PANEA. Tercer trimestre 2011</t>
  </si>
  <si>
    <t>Efectivos 3T 2010</t>
  </si>
  <si>
    <t>Programados 3T 2011</t>
  </si>
  <si>
    <t>Efectivos 3T 2011</t>
  </si>
  <si>
    <t>En transferencias 3T 2011</t>
  </si>
  <si>
    <t>IPC (3T 2010)</t>
  </si>
  <si>
    <t>IPC (3T 2011)</t>
  </si>
  <si>
    <t>Gasto efectivo real 3T 2010</t>
  </si>
  <si>
    <t>Gasto efectivo real 3T 2011</t>
  </si>
  <si>
    <t>Gasto efectivo real por beneficiario 3T 2010</t>
  </si>
  <si>
    <t>Gasto efectivo real por beneficiario 3T 2011</t>
  </si>
  <si>
    <t>Indicadores propuestos aplicados a PANEA. Cuarto trimestre 2011</t>
  </si>
  <si>
    <t>Efectivos 4T 2010</t>
  </si>
  <si>
    <t>Programados 4T 2011</t>
  </si>
  <si>
    <t>Efectivos 4T 2011</t>
  </si>
  <si>
    <t>En transferencias 4T 2011</t>
  </si>
  <si>
    <t>IPC (4T 2010)</t>
  </si>
  <si>
    <t>IPC (4T 2011)</t>
  </si>
  <si>
    <t>Gasto efectivo real 4T 2010</t>
  </si>
  <si>
    <t>Gasto efectivo real 4T 2011</t>
  </si>
  <si>
    <t>Gasto efectivo real por beneficiario 4T 2010</t>
  </si>
  <si>
    <t>Gasto efectivo real por beneficiario 4T 2011</t>
  </si>
  <si>
    <t>Indicadores propuestos aplicados a PANEA.  2011</t>
  </si>
  <si>
    <t>Efectivos  2010</t>
  </si>
  <si>
    <t>Programados  2011</t>
  </si>
  <si>
    <t>Efectivos  2011</t>
  </si>
  <si>
    <t>En transferencias  2011</t>
  </si>
  <si>
    <t>IPC ( 2010)</t>
  </si>
  <si>
    <t>IPC ( 2011)</t>
  </si>
  <si>
    <t>Gasto efectivo real  2010</t>
  </si>
  <si>
    <t>Gasto efectivo real  2011</t>
  </si>
  <si>
    <t>Gasto efectivo real por beneficiario  2010</t>
  </si>
  <si>
    <t>Gasto efectivo real por beneficiario  2011</t>
  </si>
  <si>
    <t>De Composición</t>
  </si>
  <si>
    <t>Secundaria total</t>
  </si>
  <si>
    <t>Sec Académica</t>
  </si>
  <si>
    <t>Sec. Técnica</t>
  </si>
  <si>
    <t>Total</t>
  </si>
  <si>
    <t>Efectivos 1S 2010</t>
  </si>
  <si>
    <t>Programados 1S 2011</t>
  </si>
  <si>
    <t>Efectivos 1S 2011</t>
  </si>
  <si>
    <t>En transferencias 1S 2011</t>
  </si>
  <si>
    <t>IPC (1S 2010)</t>
  </si>
  <si>
    <t>IPC (1S 2011)</t>
  </si>
  <si>
    <t>Gasto efectivo real 1S 2010</t>
  </si>
  <si>
    <t>Gasto efectivo real 1S 2011</t>
  </si>
  <si>
    <t>Gasto efectivo real por beneficiario 1S 2010</t>
  </si>
  <si>
    <t>Gasto efectivo real por beneficiario 1S 2011</t>
  </si>
  <si>
    <t>Efectivos 3TA 2010</t>
  </si>
  <si>
    <t>Programados 3TA 2011</t>
  </si>
  <si>
    <t>Efectivos 3TA 2011</t>
  </si>
  <si>
    <t>En transferencias 3TA 2011</t>
  </si>
  <si>
    <t>IPC (3TA 2010)</t>
  </si>
  <si>
    <t>IPC (3TA 2011)</t>
  </si>
  <si>
    <t>Gasto efectivo real 3TA 2010</t>
  </si>
  <si>
    <t>Gasto efectivo real 3TA 2011</t>
  </si>
  <si>
    <t>Gasto efectivo real por beneficiario 3TA 2010</t>
  </si>
  <si>
    <t>Gasto efectivo real por beneficiario 3TA 2011</t>
  </si>
  <si>
    <t>Informes Trimestrales PANEA 2011</t>
  </si>
  <si>
    <t>Informes de Giros de Recursos, Presupuesto Desaf, 2011</t>
  </si>
  <si>
    <t>Informe Girado PANEA 2010 en Alimentos y Servidoras</t>
  </si>
  <si>
    <t>Nota:</t>
  </si>
  <si>
    <t>Los beneficiarios se establecen a través de las listas de matrícula de las instituciones, no en todos los casos se financia el 100% de la matrícula.</t>
  </si>
  <si>
    <t>Los beneficiarios son los mismos de un mes a otro en la mayoría de los casos, excepto cuando se reportan aumentos/disminuciones de matrícula.</t>
  </si>
  <si>
    <t>PANEA recibe recursos de Desaf y del MEP; sin embargo, el programa no puede diferenciar los recursos de acuerdo a la fuente de financiamiento. Esto puede provocar que en estos indicadores se de el caso de gastos mayores a los ingresos.</t>
  </si>
  <si>
    <t>Población objetivo:</t>
  </si>
  <si>
    <t>Estudiantes pobres de centros públicos de educación básica</t>
  </si>
  <si>
    <t>Programa</t>
  </si>
  <si>
    <t xml:space="preserve">Gasto mensual programado por beneficiario (GPB) </t>
  </si>
  <si>
    <t xml:space="preserve">Gasto mensual efectivo por beneficiario (GEB) </t>
  </si>
  <si>
    <t xml:space="preserve">Gasto acumulado programado por beneficiario (GPB) </t>
  </si>
  <si>
    <t xml:space="preserve">Gasto acumulado efectivo por beneficiario (GEB)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</si>
</sst>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___"/>
    <numFmt numFmtId="165" formatCode="#,##0.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0" borderId="3" xfId="0" applyBorder="1"/>
    <xf numFmtId="165" fontId="0" fillId="0" borderId="0" xfId="0" applyNumberFormat="1"/>
    <xf numFmtId="43" fontId="0" fillId="0" borderId="0" xfId="1" applyFont="1"/>
    <xf numFmtId="0" fontId="0" fillId="0" borderId="0" xfId="0" applyFont="1" applyAlignment="1">
      <alignment wrapText="1"/>
    </xf>
    <xf numFmtId="3" fontId="0" fillId="0" borderId="0" xfId="0" applyNumberFormat="1" applyFill="1"/>
    <xf numFmtId="4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/>
    <xf numFmtId="3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3"/>
    </xf>
    <xf numFmtId="166" fontId="0" fillId="0" borderId="0" xfId="1" applyNumberFormat="1" applyFont="1"/>
    <xf numFmtId="166" fontId="0" fillId="0" borderId="1" xfId="1" applyNumberFormat="1" applyFont="1" applyBorder="1" applyAlignment="1">
      <alignment wrapText="1"/>
    </xf>
    <xf numFmtId="166" fontId="0" fillId="0" borderId="3" xfId="1" applyNumberFormat="1" applyFont="1" applyBorder="1" applyAlignment="1">
      <alignment wrapText="1"/>
    </xf>
    <xf numFmtId="166" fontId="0" fillId="0" borderId="3" xfId="1" applyNumberFormat="1" applyFont="1" applyBorder="1" applyAlignment="1">
      <alignment horizontal="center"/>
    </xf>
    <xf numFmtId="166" fontId="2" fillId="0" borderId="0" xfId="1" applyNumberFormat="1" applyFont="1"/>
    <xf numFmtId="166" fontId="0" fillId="0" borderId="0" xfId="1" applyNumberFormat="1" applyFont="1" applyAlignment="1">
      <alignment horizontal="left" indent="1"/>
    </xf>
    <xf numFmtId="166" fontId="0" fillId="0" borderId="0" xfId="1" applyNumberFormat="1" applyFont="1" applyFill="1"/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Alignment="1">
      <alignment horizontal="right"/>
    </xf>
    <xf numFmtId="166" fontId="0" fillId="0" borderId="3" xfId="1" applyNumberFormat="1" applyFont="1" applyBorder="1"/>
    <xf numFmtId="166" fontId="0" fillId="0" borderId="0" xfId="1" applyNumberFormat="1" applyFont="1" applyAlignment="1">
      <alignment wrapText="1"/>
    </xf>
    <xf numFmtId="166" fontId="6" fillId="0" borderId="0" xfId="1" applyNumberFormat="1" applyFont="1"/>
    <xf numFmtId="166" fontId="0" fillId="0" borderId="0" xfId="1" applyNumberFormat="1" applyFont="1" applyAlignment="1">
      <alignment horizontal="left" indent="3"/>
    </xf>
    <xf numFmtId="166" fontId="0" fillId="0" borderId="1" xfId="1" applyNumberFormat="1" applyFont="1" applyBorder="1" applyAlignment="1"/>
    <xf numFmtId="166" fontId="0" fillId="0" borderId="1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/>
    </xf>
    <xf numFmtId="166" fontId="5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Indicadores de Cobertura Potencial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503226875834427E-2"/>
          <c:y val="0.17723083637791562"/>
          <c:w val="0.79501317418729067"/>
          <c:h val="0.37169739107824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Anual!$A$40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cat>
            <c:strRef>
              <c:f>(Anual!$B$5:$D$5,Anual!$G$5:$H$5)</c:f>
              <c:strCache>
                <c:ptCount val="5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Edu. Especial</c:v>
                </c:pt>
                <c:pt idx="4">
                  <c:v>Edu. Nocturna</c:v>
                </c:pt>
              </c:strCache>
            </c:strRef>
          </c:cat>
          <c:val>
            <c:numRef>
              <c:f>(Anual!$B$40:$D$40,Anual!$G$40:$H$40)</c:f>
              <c:numCache>
                <c:formatCode>_(* #,##0_);_(* \(#,##0\);_(* "-"??_);_(@_)</c:formatCode>
                <c:ptCount val="5"/>
                <c:pt idx="0">
                  <c:v>162.28436914436634</c:v>
                </c:pt>
                <c:pt idx="1">
                  <c:v>207.60363555752605</c:v>
                </c:pt>
                <c:pt idx="2">
                  <c:v>87.547290570331398</c:v>
                </c:pt>
                <c:pt idx="3">
                  <c:v>272.48563218390808</c:v>
                </c:pt>
                <c:pt idx="4">
                  <c:v>120.65514103730663</c:v>
                </c:pt>
              </c:numCache>
            </c:numRef>
          </c:val>
        </c:ser>
        <c:ser>
          <c:idx val="1"/>
          <c:order val="1"/>
          <c:tx>
            <c:strRef>
              <c:f>Anual!$A$41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cat>
            <c:strRef>
              <c:f>(Anual!$B$5:$D$5,Anual!$G$5:$H$5)</c:f>
              <c:strCache>
                <c:ptCount val="5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Edu. Especial</c:v>
                </c:pt>
                <c:pt idx="4">
                  <c:v>Edu. Nocturna</c:v>
                </c:pt>
              </c:strCache>
            </c:strRef>
          </c:cat>
          <c:val>
            <c:numRef>
              <c:f>(Anual!$B$41:$D$41,Anual!$G$41:$H$41)</c:f>
              <c:numCache>
                <c:formatCode>_(* #,##0_);_(* \(#,##0\);_(* "-"??_);_(@_)</c:formatCode>
                <c:ptCount val="5"/>
                <c:pt idx="0">
                  <c:v>160.82962748383258</c:v>
                </c:pt>
                <c:pt idx="1">
                  <c:v>204.39950207185854</c:v>
                </c:pt>
                <c:pt idx="2">
                  <c:v>88.165268098421279</c:v>
                </c:pt>
                <c:pt idx="3">
                  <c:v>274.96408045977012</c:v>
                </c:pt>
                <c:pt idx="4">
                  <c:v>136.40051562026085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47968"/>
        <c:axId val="355948360"/>
      </c:barChart>
      <c:catAx>
        <c:axId val="35594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355948360"/>
        <c:crosses val="autoZero"/>
        <c:auto val="1"/>
        <c:lblAlgn val="ctr"/>
        <c:lblOffset val="100"/>
        <c:noMultiLvlLbl val="0"/>
      </c:catAx>
      <c:valAx>
        <c:axId val="3559483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594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188652228534193"/>
          <c:y val="0.79747458868290955"/>
          <c:w val="0.54803859250894138"/>
          <c:h val="6.8194492368196163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Indicadores de Resultado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5590588231721207E-2"/>
          <c:y val="0.19206184392452588"/>
          <c:w val="0.56323202014735807"/>
          <c:h val="0.38758693612147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Anual!$A$44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Anual!$B$44:$H$44</c:f>
              <c:numCache>
                <c:formatCode>_(* #,##0_);_(* \(#,##0\);_(* "-"??_);_(@_)</c:formatCode>
                <c:ptCount val="7"/>
                <c:pt idx="0">
                  <c:v>99.103584856506032</c:v>
                </c:pt>
                <c:pt idx="1">
                  <c:v>98.45661012772598</c:v>
                </c:pt>
                <c:pt idx="2">
                  <c:v>100.70587853040803</c:v>
                </c:pt>
                <c:pt idx="3">
                  <c:v>100.96136008991607</c:v>
                </c:pt>
                <c:pt idx="4">
                  <c:v>99.961866022626154</c:v>
                </c:pt>
                <c:pt idx="5">
                  <c:v>100.9095702610071</c:v>
                </c:pt>
                <c:pt idx="6">
                  <c:v>113.04989944695826</c:v>
                </c:pt>
              </c:numCache>
            </c:numRef>
          </c:val>
        </c:ser>
        <c:ser>
          <c:idx val="1"/>
          <c:order val="1"/>
          <c:tx>
            <c:strRef>
              <c:f>Anual!$A$45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Anual!$B$45:$H$45</c:f>
              <c:numCache>
                <c:formatCode>_(* #,##0_);_(* \(#,##0\);_(* "-"??_);_(@_)</c:formatCode>
                <c:ptCount val="7"/>
                <c:pt idx="0">
                  <c:v>101.39430330816978</c:v>
                </c:pt>
                <c:pt idx="1">
                  <c:v>101.11805105526386</c:v>
                </c:pt>
                <c:pt idx="2">
                  <c:v>102.01330027881312</c:v>
                </c:pt>
                <c:pt idx="3">
                  <c:v>102.25371056561474</c:v>
                </c:pt>
                <c:pt idx="4">
                  <c:v>101.26293053202491</c:v>
                </c:pt>
                <c:pt idx="5">
                  <c:v>101.68200203562456</c:v>
                </c:pt>
                <c:pt idx="6">
                  <c:v>109.77451479230498</c:v>
                </c:pt>
              </c:numCache>
            </c:numRef>
          </c:val>
        </c:ser>
        <c:ser>
          <c:idx val="2"/>
          <c:order val="2"/>
          <c:tx>
            <c:strRef>
              <c:f>Anual!$A$46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Anual!$B$46:$H$46</c:f>
              <c:numCache>
                <c:formatCode>_(* #,##0_);_(* \(#,##0\);_(* "-"??_);_(@_)</c:formatCode>
                <c:ptCount val="7"/>
                <c:pt idx="0">
                  <c:v>100.24894408233791</c:v>
                </c:pt>
                <c:pt idx="1">
                  <c:v>99.787330591494921</c:v>
                </c:pt>
                <c:pt idx="2">
                  <c:v>101.35958940461057</c:v>
                </c:pt>
                <c:pt idx="3">
                  <c:v>101.6075353277654</c:v>
                </c:pt>
                <c:pt idx="4">
                  <c:v>100.61239827732552</c:v>
                </c:pt>
                <c:pt idx="5">
                  <c:v>101.29578614831584</c:v>
                </c:pt>
                <c:pt idx="6">
                  <c:v>111.41220711963163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57568"/>
        <c:axId val="355257960"/>
      </c:barChart>
      <c:catAx>
        <c:axId val="35525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355257960"/>
        <c:crosses val="autoZero"/>
        <c:auto val="1"/>
        <c:lblAlgn val="ctr"/>
        <c:lblOffset val="100"/>
        <c:noMultiLvlLbl val="0"/>
      </c:catAx>
      <c:valAx>
        <c:axId val="3552579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525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Indicadores de Avance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1491211647607156E-2"/>
          <c:y val="0.15893308414083476"/>
          <c:w val="0.56009952851042744"/>
          <c:h val="0.46592315381579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Anual!$B$49:$H$49</c:f>
              <c:numCache>
                <c:formatCode>_(* #,##0_);_(* \(#,##0\);_(* "-"??_);_(@_)</c:formatCode>
                <c:ptCount val="7"/>
                <c:pt idx="0">
                  <c:v>99.103584856506032</c:v>
                </c:pt>
                <c:pt idx="1">
                  <c:v>98.45661012772598</c:v>
                </c:pt>
                <c:pt idx="2">
                  <c:v>100.70587853040803</c:v>
                </c:pt>
                <c:pt idx="3">
                  <c:v>100.96136008991607</c:v>
                </c:pt>
                <c:pt idx="4">
                  <c:v>99.961866022626154</c:v>
                </c:pt>
                <c:pt idx="5">
                  <c:v>100.9095702610071</c:v>
                </c:pt>
                <c:pt idx="6">
                  <c:v>113.04989944695826</c:v>
                </c:pt>
              </c:numCache>
            </c:numRef>
          </c:val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Anual!$B$50:$H$50</c:f>
              <c:numCache>
                <c:formatCode>_(* #,##0_);_(* \(#,##0\);_(* "-"??_);_(@_)</c:formatCode>
                <c:ptCount val="7"/>
                <c:pt idx="0">
                  <c:v>101.39430330816981</c:v>
                </c:pt>
                <c:pt idx="1">
                  <c:v>101.11805105526386</c:v>
                </c:pt>
                <c:pt idx="2">
                  <c:v>102.01330027881311</c:v>
                </c:pt>
                <c:pt idx="3">
                  <c:v>102.25371056561474</c:v>
                </c:pt>
                <c:pt idx="4">
                  <c:v>101.26293053202491</c:v>
                </c:pt>
                <c:pt idx="5">
                  <c:v>101.68200203562454</c:v>
                </c:pt>
                <c:pt idx="6">
                  <c:v>109.77451479230498</c:v>
                </c:pt>
              </c:numCache>
            </c:numRef>
          </c:val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Anual!$B$51:$H$51</c:f>
              <c:numCache>
                <c:formatCode>_(* #,##0_);_(* \(#,##0\);_(* "-"??_);_(@_)</c:formatCode>
                <c:ptCount val="7"/>
                <c:pt idx="0">
                  <c:v>100.24894408233791</c:v>
                </c:pt>
                <c:pt idx="1">
                  <c:v>99.787330591494921</c:v>
                </c:pt>
                <c:pt idx="2">
                  <c:v>101.35958940461057</c:v>
                </c:pt>
                <c:pt idx="3">
                  <c:v>101.6075353277654</c:v>
                </c:pt>
                <c:pt idx="4">
                  <c:v>100.61239827732552</c:v>
                </c:pt>
                <c:pt idx="5">
                  <c:v>101.29578614831581</c:v>
                </c:pt>
                <c:pt idx="6">
                  <c:v>111.41220711963163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58744"/>
        <c:axId val="355259136"/>
      </c:barChart>
      <c:catAx>
        <c:axId val="355258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355259136"/>
        <c:crosses val="autoZero"/>
        <c:auto val="1"/>
        <c:lblAlgn val="ctr"/>
        <c:lblOffset val="100"/>
        <c:noMultiLvlLbl val="0"/>
      </c:catAx>
      <c:valAx>
        <c:axId val="35525913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5258744"/>
        <c:crosses val="autoZero"/>
        <c:crossBetween val="between"/>
        <c:majorUnit val="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Indicadores de Expansión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882877465043012E-2"/>
          <c:y val="0.15203754200702241"/>
          <c:w val="0.58362860469690481"/>
          <c:h val="0.648560189079015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Anual!$B$57:$H$57</c:f>
              <c:numCache>
                <c:formatCode>_(* #,##0_);_(* \(#,##0\);_(* "-"??_);_(@_)</c:formatCode>
                <c:ptCount val="7"/>
                <c:pt idx="0">
                  <c:v>-0.59861284729223474</c:v>
                </c:pt>
                <c:pt idx="1">
                  <c:v>1.4775247523615587</c:v>
                </c:pt>
                <c:pt idx="2">
                  <c:v>-8.9378053098826964</c:v>
                </c:pt>
                <c:pt idx="3">
                  <c:v>-12.059487448205541</c:v>
                </c:pt>
                <c:pt idx="4">
                  <c:v>1.6784163108264138</c:v>
                </c:pt>
                <c:pt idx="5">
                  <c:v>-0.425225262725204</c:v>
                </c:pt>
                <c:pt idx="6">
                  <c:v>19.896196827451384</c:v>
                </c:pt>
              </c:numCache>
            </c:numRef>
          </c:val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Anual!$B$58:$H$58</c:f>
              <c:numCache>
                <c:formatCode>_(* #,##0_);_(* \(#,##0\);_(* "-"??_);_(@_)</c:formatCode>
                <c:ptCount val="7"/>
                <c:pt idx="0">
                  <c:v>-3.9816713656066427</c:v>
                </c:pt>
                <c:pt idx="1">
                  <c:v>-6.4831877532786519</c:v>
                </c:pt>
                <c:pt idx="2">
                  <c:v>5.3314182036561242</c:v>
                </c:pt>
                <c:pt idx="3">
                  <c:v>6.9687997273649271</c:v>
                </c:pt>
                <c:pt idx="4">
                  <c:v>0.48368009944743662</c:v>
                </c:pt>
                <c:pt idx="5">
                  <c:v>14.685261336212996</c:v>
                </c:pt>
                <c:pt idx="6">
                  <c:v>24.929601502369358</c:v>
                </c:pt>
              </c:numCache>
            </c:numRef>
          </c:val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Anual!$B$59:$H$59</c:f>
              <c:numCache>
                <c:formatCode>_(* #,##0_);_(* \(#,##0\);_(* "-"??_);_(@_)</c:formatCode>
                <c:ptCount val="7"/>
                <c:pt idx="0">
                  <c:v>-3.4034318989101253</c:v>
                </c:pt>
                <c:pt idx="1">
                  <c:v>-7.8448035908118214</c:v>
                </c:pt>
                <c:pt idx="2">
                  <c:v>15.669755777462523</c:v>
                </c:pt>
                <c:pt idx="3">
                  <c:v>21.637680544974501</c:v>
                </c:pt>
                <c:pt idx="4">
                  <c:v>-1.1750145750960006</c:v>
                </c:pt>
                <c:pt idx="5">
                  <c:v>15.175014594616766</c:v>
                </c:pt>
                <c:pt idx="6">
                  <c:v>4.1981353938705945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59920"/>
        <c:axId val="355260312"/>
      </c:barChart>
      <c:catAx>
        <c:axId val="355259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260312"/>
        <c:crosses val="autoZero"/>
        <c:auto val="1"/>
        <c:lblAlgn val="ctr"/>
        <c:lblOffset val="100"/>
        <c:noMultiLvlLbl val="0"/>
      </c:catAx>
      <c:valAx>
        <c:axId val="355260312"/>
        <c:scaling>
          <c:orientation val="minMax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crossAx val="355259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Indicadores de Gasto Medio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84202663361028"/>
          <c:y val="0.15032167885673553"/>
          <c:w val="0.85462669976773953"/>
          <c:h val="0.35039492897635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Gasto mensual programado por beneficiario (GPB)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Anual!$B$62:$H$62</c:f>
              <c:numCache>
                <c:formatCode>_(* #,##0_);_(* \(#,##0\);_(* "-"??_);_(@_)</c:formatCode>
                <c:ptCount val="7"/>
                <c:pt idx="0">
                  <c:v>5409.4016289880437</c:v>
                </c:pt>
                <c:pt idx="1">
                  <c:v>5454.9715778882091</c:v>
                </c:pt>
                <c:pt idx="2">
                  <c:v>5249.6565895534295</c:v>
                </c:pt>
                <c:pt idx="3">
                  <c:v>5341.078346482469</c:v>
                </c:pt>
                <c:pt idx="4">
                  <c:v>4983.4184674378203</c:v>
                </c:pt>
                <c:pt idx="5">
                  <c:v>5787.0029659899801</c:v>
                </c:pt>
                <c:pt idx="6">
                  <c:v>4911.9351223395342</c:v>
                </c:pt>
              </c:numCache>
            </c:numRef>
          </c:val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Gasto mensual efectivo por beneficiario (GEB)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Anual!$B$63:$H$63</c:f>
              <c:numCache>
                <c:formatCode>_(* #,##0_);_(* \(#,##0\);_(* "-"??_);_(@_)</c:formatCode>
                <c:ptCount val="7"/>
                <c:pt idx="0">
                  <c:v>5534.4366228474955</c:v>
                </c:pt>
                <c:pt idx="1">
                  <c:v>5602.4282554755591</c:v>
                </c:pt>
                <c:pt idx="2">
                  <c:v>5317.8106565949874</c:v>
                </c:pt>
                <c:pt idx="3">
                  <c:v>5409.4465334370925</c:v>
                </c:pt>
                <c:pt idx="4">
                  <c:v>5048.2806910181416</c:v>
                </c:pt>
                <c:pt idx="5">
                  <c:v>5831.3006967123883</c:v>
                </c:pt>
                <c:pt idx="6">
                  <c:v>4769.6220640965057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61096"/>
        <c:axId val="357355488"/>
      </c:barChart>
      <c:catAx>
        <c:axId val="355261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357355488"/>
        <c:crosses val="autoZero"/>
        <c:auto val="1"/>
        <c:lblAlgn val="ctr"/>
        <c:lblOffset val="100"/>
        <c:noMultiLvlLbl val="0"/>
      </c:catAx>
      <c:valAx>
        <c:axId val="3573554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5261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613385080998486"/>
          <c:w val="0.98524822035566029"/>
          <c:h val="0.136658918886703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Índice de Eficiencia e Indicadores de Giro de Recursos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211546702204648E-2"/>
          <c:y val="0.21794490541951961"/>
          <c:w val="0.53929301492194237"/>
          <c:h val="0.36296808897844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Anual!$B$64:$H$64</c:f>
              <c:numCache>
                <c:formatCode>_(* #,##0_);_(* \(#,##0\);_(* "-"??_);_(@_)</c:formatCode>
                <c:ptCount val="7"/>
                <c:pt idx="0">
                  <c:v>97.984101793602392</c:v>
                </c:pt>
                <c:pt idx="1">
                  <c:v>97.160914408485112</c:v>
                </c:pt>
                <c:pt idx="2">
                  <c:v>100.0605457383944</c:v>
                </c:pt>
                <c:pt idx="3">
                  <c:v>100.32335164495279</c:v>
                </c:pt>
                <c:pt idx="4">
                  <c:v>99.319692052882203</c:v>
                </c:pt>
                <c:pt idx="5">
                  <c:v>100.52628827957405</c:v>
                </c:pt>
                <c:pt idx="6">
                  <c:v>114.73645623365529</c:v>
                </c:pt>
              </c:numCache>
            </c:numRef>
          </c:val>
        </c:ser>
        <c:ser>
          <c:idx val="1"/>
          <c:order val="1"/>
          <c:tx>
            <c:strRef>
              <c:f>Anual!$A$69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Anual!$B$69</c:f>
              <c:numCache>
                <c:formatCode>_(* #,##0_);_(* \(#,##0\);_(* "-"??_);_(@_)</c:formatCode>
                <c:ptCount val="1"/>
                <c:pt idx="0">
                  <c:v>94.384908564595349</c:v>
                </c:pt>
              </c:numCache>
            </c:numRef>
          </c:val>
        </c:ser>
        <c:ser>
          <c:idx val="2"/>
          <c:order val="2"/>
          <c:tx>
            <c:strRef>
              <c:f>Anual!$A$70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Anual!$B$70</c:f>
              <c:numCache>
                <c:formatCode>_(* #,##0_);_(* \(#,##0\);_(* "-"??_);_(@_)</c:formatCode>
                <c:ptCount val="1"/>
                <c:pt idx="0">
                  <c:v>106.82413612848205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56272"/>
        <c:axId val="357356664"/>
      </c:barChart>
      <c:catAx>
        <c:axId val="35735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357356664"/>
        <c:crosses val="autoZero"/>
        <c:auto val="1"/>
        <c:lblAlgn val="ctr"/>
        <c:lblOffset val="100"/>
        <c:noMultiLvlLbl val="0"/>
      </c:catAx>
      <c:valAx>
        <c:axId val="357356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7356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Indicadores de Giro de Recursos Anual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577132261040836E-2"/>
          <c:y val="0.19480351414406533"/>
          <c:w val="0.84149389098641281"/>
          <c:h val="0.517536453776611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Anual!$A$69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Anual!$B$69</c:f>
              <c:numCache>
                <c:formatCode>_(* #,##0_);_(* \(#,##0\);_(* "-"??_);_(@_)</c:formatCode>
                <c:ptCount val="1"/>
                <c:pt idx="0">
                  <c:v>94.384908564595349</c:v>
                </c:pt>
              </c:numCache>
            </c:numRef>
          </c:val>
        </c:ser>
        <c:ser>
          <c:idx val="2"/>
          <c:order val="1"/>
          <c:tx>
            <c:strRef>
              <c:f>Anual!$A$70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Anual!$B$70</c:f>
              <c:numCache>
                <c:formatCode>_(* #,##0_);_(* \(#,##0\);_(* "-"??_);_(@_)</c:formatCode>
                <c:ptCount val="1"/>
                <c:pt idx="0">
                  <c:v>106.82413612848205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57448"/>
        <c:axId val="357357840"/>
      </c:barChart>
      <c:catAx>
        <c:axId val="357357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7357840"/>
        <c:crosses val="autoZero"/>
        <c:auto val="1"/>
        <c:lblAlgn val="ctr"/>
        <c:lblOffset val="100"/>
        <c:noMultiLvlLbl val="0"/>
      </c:catAx>
      <c:valAx>
        <c:axId val="3573578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57357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408560064818281E-2"/>
          <c:y val="0.81906058617672772"/>
          <c:w val="0.83718267012962611"/>
          <c:h val="8.37171916010499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68790</xdr:colOff>
      <xdr:row>0</xdr:row>
      <xdr:rowOff>109007</xdr:rowOff>
    </xdr:from>
    <xdr:to>
      <xdr:col>14</xdr:col>
      <xdr:colOff>371474</xdr:colOff>
      <xdr:row>18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113241</xdr:colOff>
      <xdr:row>18</xdr:row>
      <xdr:rowOff>84665</xdr:rowOff>
    </xdr:from>
    <xdr:to>
      <xdr:col>14</xdr:col>
      <xdr:colOff>380999</xdr:colOff>
      <xdr:row>33</xdr:row>
      <xdr:rowOff>9524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162982</xdr:colOff>
      <xdr:row>33</xdr:row>
      <xdr:rowOff>152398</xdr:rowOff>
    </xdr:from>
    <xdr:to>
      <xdr:col>14</xdr:col>
      <xdr:colOff>733424</xdr:colOff>
      <xdr:row>51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182033</xdr:colOff>
      <xdr:row>53</xdr:row>
      <xdr:rowOff>27515</xdr:rowOff>
    </xdr:from>
    <xdr:to>
      <xdr:col>14</xdr:col>
      <xdr:colOff>133350</xdr:colOff>
      <xdr:row>71</xdr:row>
      <xdr:rowOff>95249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229657</xdr:colOff>
      <xdr:row>73</xdr:row>
      <xdr:rowOff>26456</xdr:rowOff>
    </xdr:from>
    <xdr:to>
      <xdr:col>14</xdr:col>
      <xdr:colOff>304799</xdr:colOff>
      <xdr:row>91</xdr:row>
      <xdr:rowOff>152399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153459</xdr:colOff>
      <xdr:row>84</xdr:row>
      <xdr:rowOff>110066</xdr:rowOff>
    </xdr:from>
    <xdr:to>
      <xdr:col>6</xdr:col>
      <xdr:colOff>561975</xdr:colOff>
      <xdr:row>100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1</xdr:col>
      <xdr:colOff>1091141</xdr:colOff>
      <xdr:row>102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0.87852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09020"/>
          <a:ext cx="4566708" cy="333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ejecutoras, DESAF  e INEC .</a:t>
          </a:r>
          <a:endParaRPr lang="es-CR" sz="900">
            <a:latin typeface="+mn-lt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0.02411</cdr:x>
      <cdr:y>0.90415</cdr:y>
    </cdr:from>
    <cdr:to>
      <cdr:x>0.9567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7000" y="2515660"/>
          <a:ext cx="491327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  y DESAF.</a:t>
          </a:r>
          <a:endParaRPr lang="es-CR" sz="900">
            <a:latin typeface="+mn-lt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0.03305</cdr:x>
      <cdr:y>0.91785</cdr:y>
    </cdr:from>
    <cdr:to>
      <cdr:x>0.91498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4150" y="3086102"/>
          <a:ext cx="491327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  y DESAF.</a:t>
          </a:r>
          <a:endParaRPr lang="es-CR" sz="9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0.00781</cdr:x>
      <cdr:y>0.89679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672" y="3144370"/>
          <a:ext cx="4913270" cy="361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ejecutoras, DESAF e INEC .</a:t>
          </a:r>
          <a:endParaRPr lang="es-CR" sz="900">
            <a:latin typeface="+mn-lt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0.03201</cdr:x>
      <cdr:y>0.8982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497" y="3193054"/>
          <a:ext cx="4913270" cy="361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  y  DESAF.</a:t>
          </a:r>
          <a:endParaRPr lang="es-CR" sz="900">
            <a:latin typeface="+mn-lt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0.88069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671295"/>
          <a:ext cx="4837641" cy="361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  y  DESAF .</a:t>
          </a:r>
          <a:endParaRPr lang="es-CR" sz="9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0.88889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38400"/>
          <a:ext cx="4767791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>
              <a:latin typeface="+mn-lt"/>
            </a:rPr>
            <a:t>Fuente: </a:t>
          </a:r>
          <a:r>
            <a:rPr lang="es-CR" sz="900" baseline="0">
              <a:latin typeface="+mn-lt"/>
            </a:rPr>
            <a:t>IICE con  base en información de unidades ejecutoras  y  DESAF.</a:t>
          </a:r>
          <a:endParaRPr lang="es-CR" sz="9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304800</xdr:colOff>
      <xdr:row>42</xdr:row>
      <xdr:rowOff>180975</xdr:rowOff>
    </xdr:to>
    <xdr:sp macro="" textlink="">
      <xdr:nvSpPr>
        <xdr:cNvPr id="3" name="2 CuadroTexto"/>
        <xdr:cNvSpPr txBox="1"/>
      </xdr:nvSpPr>
      <xdr:spPr>
        <a:xfrm>
          <a:off x="0" y="0"/>
          <a:ext cx="7924800" cy="818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u="sng">
              <a:solidFill>
                <a:sysClr val="windowText" lastClr="000000"/>
              </a:solidFill>
            </a:rPr>
            <a:t>Observaciones</a:t>
          </a:r>
        </a:p>
        <a:p>
          <a:endParaRPr lang="es-CR" sz="11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información es proporcionada por las unidades ejecutoras de cada programa. </a:t>
          </a: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Se deben tomar en cuenta las particularidades de cada programa .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En el caso particular de</a:t>
          </a:r>
          <a:r>
            <a:rPr lang="es-CR" sz="1100" baseline="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 PANEA (Comedores Escolares):</a:t>
          </a:r>
          <a:endParaRPr lang="es-CR" sz="1100">
            <a:solidFill>
              <a:sysClr val="windowText" lastClr="000000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beneficiarios se establecen a través de las listas de matrícula de las instituciones, no en todos los casos se financia el 100% de la matrícula.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beneficiarios son los mismos de un mes a otro en la mayoría de los casos, excepto cuando se reportan aumentos/disminuciones de matrícula.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PANEA recibe recursos de Desaf y del MEP; sin embargo, el programa no puede diferenciar los recursos de acuerdo a la fuente de financiamiento. Esto puede provocar que en estos indicadores se de el caso de gastos mayores a los ingresos.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 baseline="0">
            <a:solidFill>
              <a:sysClr val="windowText" lastClr="000000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Se recomienda observar la fórmula utilizada en Excel cuando existan dudas sobre algún resultado obtenido.</a:t>
          </a: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>
            <a:solidFill>
              <a:srgbClr val="1F497D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>
            <a:solidFill>
              <a:srgbClr val="1F497D"/>
            </a:solidFill>
            <a:effectLst/>
            <a:latin typeface="+mn-lt"/>
            <a:ea typeface="Calibri"/>
            <a:cs typeface="Times New Roman"/>
          </a:endParaRPr>
        </a:p>
        <a:p>
          <a:endParaRPr lang="es-CR" sz="1100"/>
        </a:p>
        <a:p>
          <a:endParaRPr lang="es-CR" sz="1100"/>
        </a:p>
        <a:p>
          <a:endParaRPr lang="es-CR" sz="1100"/>
        </a:p>
        <a:p>
          <a:endParaRPr lang="es-C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topLeftCell="B61" workbookViewId="0">
      <selection activeCell="G141" sqref="G141:K143"/>
    </sheetView>
  </sheetViews>
  <sheetFormatPr baseColWidth="10" defaultRowHeight="15" x14ac:dyDescent="0.25"/>
  <cols>
    <col min="1" max="1" width="55.140625" style="20" customWidth="1"/>
    <col min="2" max="3" width="17.85546875" style="20" bestFit="1" customWidth="1"/>
    <col min="4" max="4" width="16.42578125" style="20" customWidth="1"/>
    <col min="5" max="5" width="17.5703125" style="20" bestFit="1" customWidth="1"/>
    <col min="6" max="6" width="16.85546875" style="20" bestFit="1" customWidth="1"/>
    <col min="7" max="8" width="15.42578125" style="20" bestFit="1" customWidth="1"/>
    <col min="9" max="9" width="11.5703125" style="20" bestFit="1" customWidth="1"/>
    <col min="10" max="10" width="15.42578125" style="20" bestFit="1" customWidth="1"/>
    <col min="11" max="11" width="11.5703125" style="20" bestFit="1" customWidth="1"/>
    <col min="12" max="16384" width="11.42578125" style="20"/>
  </cols>
  <sheetData>
    <row r="2" spans="1:9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4" spans="1:9" x14ac:dyDescent="0.25">
      <c r="A4" s="34" t="s">
        <v>1</v>
      </c>
      <c r="B4" s="21" t="s">
        <v>97</v>
      </c>
      <c r="C4" s="36" t="s">
        <v>3</v>
      </c>
      <c r="D4" s="36"/>
      <c r="E4" s="36"/>
      <c r="F4" s="36"/>
      <c r="G4" s="36"/>
      <c r="H4" s="36"/>
    </row>
    <row r="5" spans="1:9" ht="15.75" thickBot="1" x14ac:dyDescent="0.3">
      <c r="A5" s="35"/>
      <c r="B5" s="22" t="s">
        <v>127</v>
      </c>
      <c r="C5" s="23" t="s">
        <v>4</v>
      </c>
      <c r="D5" s="23" t="s">
        <v>94</v>
      </c>
      <c r="E5" s="23" t="s">
        <v>95</v>
      </c>
      <c r="F5" s="23" t="s">
        <v>96</v>
      </c>
      <c r="G5" s="23" t="s">
        <v>5</v>
      </c>
      <c r="H5" s="23" t="s">
        <v>6</v>
      </c>
    </row>
    <row r="6" spans="1:9" ht="15.75" thickTop="1" x14ac:dyDescent="0.25"/>
    <row r="7" spans="1:9" x14ac:dyDescent="0.25">
      <c r="A7" s="24" t="s">
        <v>7</v>
      </c>
    </row>
    <row r="9" spans="1:9" x14ac:dyDescent="0.25">
      <c r="A9" s="20" t="s">
        <v>8</v>
      </c>
    </row>
    <row r="10" spans="1:9" x14ac:dyDescent="0.25">
      <c r="A10" s="25" t="s">
        <v>9</v>
      </c>
      <c r="B10" s="20">
        <f>619975</f>
        <v>619975</v>
      </c>
      <c r="C10" s="26">
        <f>$B$10*0.7621</f>
        <v>472482.94750000001</v>
      </c>
      <c r="D10" s="26">
        <f>E10+F10</f>
        <v>136146.50999999998</v>
      </c>
      <c r="E10" s="26">
        <f>$B$10*0.1697</f>
        <v>105209.75749999999</v>
      </c>
      <c r="F10" s="26">
        <f>$B$10*0.0499</f>
        <v>30936.752499999999</v>
      </c>
      <c r="G10" s="26">
        <f>$B$10*0.0062</f>
        <v>3843.8449999999998</v>
      </c>
      <c r="H10" s="26">
        <f>$B$10*0.0121</f>
        <v>7501.6975000000002</v>
      </c>
    </row>
    <row r="11" spans="1:9" x14ac:dyDescent="0.25">
      <c r="A11" s="25" t="s">
        <v>10</v>
      </c>
      <c r="B11" s="20">
        <f>C11+D11+G11+H11</f>
        <v>621838</v>
      </c>
      <c r="C11" s="20">
        <f>486980</f>
        <v>486980</v>
      </c>
      <c r="D11" s="26">
        <f t="shared" ref="D11:D13" si="0">E11+F11</f>
        <v>123109</v>
      </c>
      <c r="E11" s="20">
        <f>91641</f>
        <v>91641</v>
      </c>
      <c r="F11" s="20">
        <f>31468</f>
        <v>31468</v>
      </c>
      <c r="G11" s="20">
        <f>3793</f>
        <v>3793</v>
      </c>
      <c r="H11" s="20">
        <f>7956</f>
        <v>7956</v>
      </c>
    </row>
    <row r="12" spans="1:9" x14ac:dyDescent="0.25">
      <c r="A12" s="25" t="s">
        <v>11</v>
      </c>
      <c r="B12" s="20">
        <f t="shared" ref="B12:B13" si="1">C12+D12+G12+H12</f>
        <v>621838</v>
      </c>
      <c r="C12" s="20">
        <v>486980</v>
      </c>
      <c r="D12" s="20">
        <f t="shared" si="0"/>
        <v>123109</v>
      </c>
      <c r="E12" s="20">
        <v>91641</v>
      </c>
      <c r="F12" s="20">
        <v>31468</v>
      </c>
      <c r="G12" s="20">
        <v>3793</v>
      </c>
      <c r="H12" s="20">
        <v>7956</v>
      </c>
    </row>
    <row r="13" spans="1:9" x14ac:dyDescent="0.25">
      <c r="A13" s="25" t="s">
        <v>12</v>
      </c>
      <c r="B13" s="20">
        <f t="shared" si="1"/>
        <v>621838</v>
      </c>
      <c r="C13" s="20">
        <f>486980</f>
        <v>486980</v>
      </c>
      <c r="D13" s="26">
        <f t="shared" si="0"/>
        <v>123109</v>
      </c>
      <c r="E13" s="20">
        <f>91641</f>
        <v>91641</v>
      </c>
      <c r="F13" s="20">
        <f>31468</f>
        <v>31468</v>
      </c>
      <c r="G13" s="20">
        <f>3793</f>
        <v>3793</v>
      </c>
      <c r="H13" s="20">
        <f>7956</f>
        <v>7956</v>
      </c>
    </row>
    <row r="15" spans="1:9" x14ac:dyDescent="0.25">
      <c r="A15" s="27" t="s">
        <v>13</v>
      </c>
    </row>
    <row r="16" spans="1:9" x14ac:dyDescent="0.25">
      <c r="A16" s="25" t="s">
        <v>9</v>
      </c>
      <c r="B16" s="20">
        <f>C16+D16+G16+H16</f>
        <v>7389574648.909091</v>
      </c>
      <c r="C16" s="26">
        <v>5975526206.909091</v>
      </c>
      <c r="D16" s="26">
        <f>E16+F16</f>
        <v>1302126286.7272727</v>
      </c>
      <c r="E16" s="26">
        <v>973361723.27272725</v>
      </c>
      <c r="F16" s="26">
        <v>328764563.45454544</v>
      </c>
      <c r="G16" s="26">
        <v>40486158.363636367</v>
      </c>
      <c r="H16" s="26">
        <v>71435996.909090906</v>
      </c>
    </row>
    <row r="17" spans="1:8" x14ac:dyDescent="0.25">
      <c r="A17" s="25" t="s">
        <v>10</v>
      </c>
      <c r="B17" s="20">
        <f>C17+D17+G17+H17</f>
        <v>7339137796.727273</v>
      </c>
      <c r="C17" s="20">
        <v>5795917219.636364</v>
      </c>
      <c r="D17" s="26">
        <f t="shared" ref="D17:D19" si="2">E17+F17</f>
        <v>1410065395.8181818</v>
      </c>
      <c r="E17" s="20">
        <v>1067916568.9090909</v>
      </c>
      <c r="F17" s="20">
        <v>342148826.90909094</v>
      </c>
      <c r="G17" s="20">
        <v>47891132.18181818</v>
      </c>
      <c r="H17" s="20">
        <v>85264049.090909094</v>
      </c>
    </row>
    <row r="18" spans="1:8" x14ac:dyDescent="0.25">
      <c r="A18" s="25" t="s">
        <v>11</v>
      </c>
      <c r="B18" s="20">
        <f>C18+D18+G18+H18</f>
        <v>7082427763</v>
      </c>
      <c r="C18" s="20">
        <v>5604886322</v>
      </c>
      <c r="D18" s="26">
        <f t="shared" si="2"/>
        <v>1361273003</v>
      </c>
      <c r="E18" s="20">
        <v>1033118147</v>
      </c>
      <c r="F18" s="20">
        <v>328154856</v>
      </c>
      <c r="G18" s="20">
        <v>45713676</v>
      </c>
      <c r="H18" s="20">
        <v>70554762</v>
      </c>
    </row>
    <row r="19" spans="1:8" x14ac:dyDescent="0.25">
      <c r="A19" s="25" t="s">
        <v>12</v>
      </c>
      <c r="B19" s="20">
        <f>C19+D19+G19+H19</f>
        <v>40365257882</v>
      </c>
      <c r="C19" s="20">
        <v>31877544708</v>
      </c>
      <c r="D19" s="26">
        <f t="shared" si="2"/>
        <v>7755359677</v>
      </c>
      <c r="E19" s="20">
        <v>5873541129</v>
      </c>
      <c r="F19" s="20">
        <v>1881818548</v>
      </c>
      <c r="G19" s="20">
        <v>263401227</v>
      </c>
      <c r="H19" s="20">
        <v>468952270</v>
      </c>
    </row>
    <row r="20" spans="1:8" x14ac:dyDescent="0.25">
      <c r="A20" s="25" t="s">
        <v>14</v>
      </c>
      <c r="B20" s="20">
        <f>B18</f>
        <v>7082427763</v>
      </c>
      <c r="C20" s="20">
        <f t="shared" ref="C20:H20" si="3">C18</f>
        <v>5604886322</v>
      </c>
      <c r="D20" s="20">
        <f t="shared" si="3"/>
        <v>1361273003</v>
      </c>
      <c r="E20" s="20">
        <f t="shared" si="3"/>
        <v>1033118147</v>
      </c>
      <c r="F20" s="20">
        <f t="shared" si="3"/>
        <v>328154856</v>
      </c>
      <c r="G20" s="20">
        <f t="shared" si="3"/>
        <v>45713676</v>
      </c>
      <c r="H20" s="20">
        <f t="shared" si="3"/>
        <v>70554762</v>
      </c>
    </row>
    <row r="22" spans="1:8" x14ac:dyDescent="0.25">
      <c r="A22" s="27" t="s">
        <v>15</v>
      </c>
    </row>
    <row r="23" spans="1:8" x14ac:dyDescent="0.25">
      <c r="A23" s="25" t="s">
        <v>10</v>
      </c>
      <c r="B23" s="20">
        <v>7665652658.3886213</v>
      </c>
    </row>
    <row r="24" spans="1:8" x14ac:dyDescent="0.25">
      <c r="A24" s="25" t="s">
        <v>11</v>
      </c>
      <c r="B24" s="20">
        <v>2518481942</v>
      </c>
    </row>
    <row r="26" spans="1:8" x14ac:dyDescent="0.25">
      <c r="A26" s="20" t="s">
        <v>16</v>
      </c>
    </row>
    <row r="27" spans="1:8" x14ac:dyDescent="0.25">
      <c r="A27" s="25" t="s">
        <v>17</v>
      </c>
      <c r="B27" s="16">
        <v>1.3815129374949098</v>
      </c>
      <c r="C27" s="16">
        <v>1.3815129374949098</v>
      </c>
      <c r="D27" s="16">
        <v>1.3815129374949098</v>
      </c>
      <c r="E27" s="16">
        <v>1.3815129374949098</v>
      </c>
      <c r="F27" s="16">
        <v>1.3815129374949098</v>
      </c>
      <c r="G27" s="16">
        <v>1.3815129374949098</v>
      </c>
      <c r="H27" s="16">
        <v>1.3815129374949098</v>
      </c>
    </row>
    <row r="28" spans="1:8" x14ac:dyDescent="0.25">
      <c r="A28" s="25" t="s">
        <v>18</v>
      </c>
      <c r="B28" s="16">
        <v>1.4459435845989319</v>
      </c>
      <c r="C28" s="16">
        <v>1.4459435845989319</v>
      </c>
      <c r="D28" s="16">
        <v>1.4459435845989319</v>
      </c>
      <c r="E28" s="16">
        <v>1.4459435845989319</v>
      </c>
      <c r="F28" s="16">
        <v>1.4459435845989319</v>
      </c>
      <c r="G28" s="16">
        <v>1.4459435845989319</v>
      </c>
      <c r="H28" s="16">
        <v>1.4459435845989319</v>
      </c>
    </row>
    <row r="29" spans="1:8" x14ac:dyDescent="0.25">
      <c r="A29" s="25" t="s">
        <v>19</v>
      </c>
      <c r="B29" s="20">
        <f>+C29+D29+G29+H29</f>
        <v>383178</v>
      </c>
      <c r="C29" s="20">
        <v>234572</v>
      </c>
      <c r="D29" s="20">
        <v>140620</v>
      </c>
      <c r="E29" s="28">
        <v>127792</v>
      </c>
      <c r="F29" s="28">
        <v>12828</v>
      </c>
      <c r="G29" s="20">
        <v>1392</v>
      </c>
      <c r="H29" s="20">
        <v>6594</v>
      </c>
    </row>
    <row r="31" spans="1:8" x14ac:dyDescent="0.25">
      <c r="A31" s="25" t="s">
        <v>20</v>
      </c>
    </row>
    <row r="32" spans="1:8" x14ac:dyDescent="0.25">
      <c r="A32" s="25" t="s">
        <v>21</v>
      </c>
      <c r="B32" s="20">
        <f>B16/B27</f>
        <v>5348900070.6056128</v>
      </c>
      <c r="C32" s="20">
        <f t="shared" ref="C32:G32" si="4">C16/C27</f>
        <v>4325349437.3671818</v>
      </c>
      <c r="D32" s="20">
        <f t="shared" ref="D32" si="5">D16/D27</f>
        <v>942536440.58405387</v>
      </c>
      <c r="E32" s="20">
        <f t="shared" si="4"/>
        <v>704562148.39197886</v>
      </c>
      <c r="F32" s="20">
        <f t="shared" si="4"/>
        <v>237974292.19207495</v>
      </c>
      <c r="G32" s="20">
        <f t="shared" si="4"/>
        <v>29305667.189081635</v>
      </c>
      <c r="H32" s="20">
        <f>H16/H27</f>
        <v>51708525.465295628</v>
      </c>
    </row>
    <row r="33" spans="1:8" x14ac:dyDescent="0.25">
      <c r="A33" s="25" t="s">
        <v>22</v>
      </c>
      <c r="B33" s="20">
        <f>B18/B28</f>
        <v>4898135610.8471451</v>
      </c>
      <c r="C33" s="20">
        <f t="shared" ref="C33:H33" si="6">C18/C28</f>
        <v>3876282852.0413218</v>
      </c>
      <c r="D33" s="20">
        <f t="shared" ref="D33" si="7">D18/D28</f>
        <v>941442679.71394098</v>
      </c>
      <c r="E33" s="20">
        <f t="shared" si="6"/>
        <v>714494090.92026281</v>
      </c>
      <c r="F33" s="20">
        <f t="shared" si="6"/>
        <v>226948588.79367816</v>
      </c>
      <c r="G33" s="20">
        <f t="shared" si="6"/>
        <v>31615117.274910703</v>
      </c>
      <c r="H33" s="20">
        <f t="shared" si="6"/>
        <v>48794961.816971652</v>
      </c>
    </row>
    <row r="34" spans="1:8" x14ac:dyDescent="0.25">
      <c r="A34" s="25" t="s">
        <v>23</v>
      </c>
      <c r="B34" s="26">
        <f>B32/B10</f>
        <v>8627.6060657375092</v>
      </c>
      <c r="C34" s="26">
        <f t="shared" ref="C34:H34" si="8">C32/C10</f>
        <v>9154.5090891712698</v>
      </c>
      <c r="D34" s="26">
        <f t="shared" ref="D34" si="9">D32/D10</f>
        <v>6922.9570452011885</v>
      </c>
      <c r="E34" s="26">
        <f t="shared" si="8"/>
        <v>6696.7376898666353</v>
      </c>
      <c r="F34" s="26">
        <f t="shared" si="8"/>
        <v>7692.2841914992523</v>
      </c>
      <c r="G34" s="26">
        <f t="shared" si="8"/>
        <v>7624.0501864881744</v>
      </c>
      <c r="H34" s="26">
        <f t="shared" si="8"/>
        <v>6892.909966750276</v>
      </c>
    </row>
    <row r="35" spans="1:8" x14ac:dyDescent="0.25">
      <c r="A35" s="25" t="s">
        <v>24</v>
      </c>
      <c r="B35" s="20">
        <f>B33/B12</f>
        <v>7876.8676260491402</v>
      </c>
      <c r="C35" s="20">
        <f t="shared" ref="C35:H35" si="10">C33/C12</f>
        <v>7959.8399360165131</v>
      </c>
      <c r="D35" s="20">
        <f t="shared" ref="D35" si="11">D33/D12</f>
        <v>7647.2287136922641</v>
      </c>
      <c r="E35" s="20">
        <f t="shared" si="10"/>
        <v>7796.664057793595</v>
      </c>
      <c r="F35" s="20">
        <f t="shared" si="10"/>
        <v>7212.0436250692183</v>
      </c>
      <c r="G35" s="20">
        <f t="shared" si="10"/>
        <v>8335.1218758003433</v>
      </c>
      <c r="H35" s="20">
        <f t="shared" si="10"/>
        <v>6133.1022897148887</v>
      </c>
    </row>
    <row r="37" spans="1:8" x14ac:dyDescent="0.25">
      <c r="A37" s="24" t="s">
        <v>25</v>
      </c>
    </row>
    <row r="39" spans="1:8" x14ac:dyDescent="0.25">
      <c r="A39" s="20" t="s">
        <v>26</v>
      </c>
    </row>
    <row r="40" spans="1:8" x14ac:dyDescent="0.25">
      <c r="A40" s="20" t="s">
        <v>27</v>
      </c>
      <c r="B40" s="20">
        <f>(B11)/B29*100</f>
        <v>162.28436914436634</v>
      </c>
      <c r="C40" s="20">
        <f t="shared" ref="C40:H40" si="12">(C11)/C29*100</f>
        <v>207.60363555752605</v>
      </c>
      <c r="D40" s="20">
        <f t="shared" si="12"/>
        <v>87.547290570331398</v>
      </c>
      <c r="E40" s="20">
        <f t="shared" si="12"/>
        <v>71.711061725303608</v>
      </c>
      <c r="F40" s="20">
        <f t="shared" si="12"/>
        <v>245.30714062987212</v>
      </c>
      <c r="G40" s="20">
        <f t="shared" si="12"/>
        <v>272.48563218390808</v>
      </c>
      <c r="H40" s="20">
        <f t="shared" si="12"/>
        <v>120.65514103730663</v>
      </c>
    </row>
    <row r="41" spans="1:8" x14ac:dyDescent="0.25">
      <c r="A41" s="20" t="s">
        <v>28</v>
      </c>
      <c r="B41" s="20">
        <f>(B12)/B29*100</f>
        <v>162.28436914436634</v>
      </c>
      <c r="C41" s="20">
        <f t="shared" ref="C41:H41" si="13">(C12)/C29*100</f>
        <v>207.60363555752605</v>
      </c>
      <c r="D41" s="20">
        <f t="shared" si="13"/>
        <v>87.547290570331398</v>
      </c>
      <c r="E41" s="20">
        <f t="shared" si="13"/>
        <v>71.711061725303608</v>
      </c>
      <c r="F41" s="20">
        <f t="shared" si="13"/>
        <v>245.30714062987212</v>
      </c>
      <c r="G41" s="20">
        <f t="shared" si="13"/>
        <v>272.48563218390808</v>
      </c>
      <c r="H41" s="20">
        <f t="shared" si="13"/>
        <v>120.65514103730663</v>
      </c>
    </row>
    <row r="43" spans="1:8" x14ac:dyDescent="0.25">
      <c r="A43" s="20" t="s">
        <v>29</v>
      </c>
    </row>
    <row r="44" spans="1:8" x14ac:dyDescent="0.25">
      <c r="A44" s="20" t="s">
        <v>30</v>
      </c>
      <c r="B44" s="20">
        <f>B12/B11*100</f>
        <v>100</v>
      </c>
      <c r="C44" s="20">
        <f t="shared" ref="C44:H44" si="14">C12/C11*100</f>
        <v>100</v>
      </c>
      <c r="D44" s="20">
        <f t="shared" ref="D44" si="15">D12/D11*100</f>
        <v>100</v>
      </c>
      <c r="E44" s="20">
        <f t="shared" si="14"/>
        <v>100</v>
      </c>
      <c r="F44" s="20">
        <f t="shared" si="14"/>
        <v>100</v>
      </c>
      <c r="G44" s="20">
        <f t="shared" si="14"/>
        <v>100</v>
      </c>
      <c r="H44" s="20">
        <f t="shared" si="14"/>
        <v>100</v>
      </c>
    </row>
    <row r="45" spans="1:8" x14ac:dyDescent="0.25">
      <c r="A45" s="20" t="s">
        <v>31</v>
      </c>
      <c r="B45" s="20">
        <f>B18/B17*100</f>
        <v>96.502177219758053</v>
      </c>
      <c r="C45" s="20">
        <f t="shared" ref="C45:H45" si="16">C18/C17*100</f>
        <v>96.704043719100099</v>
      </c>
      <c r="D45" s="20">
        <f t="shared" ref="D45" si="17">D18/D17*100</f>
        <v>96.539707097069055</v>
      </c>
      <c r="E45" s="20">
        <f t="shared" si="16"/>
        <v>96.741466241633603</v>
      </c>
      <c r="F45" s="20">
        <f t="shared" si="16"/>
        <v>95.909975481865629</v>
      </c>
      <c r="G45" s="20">
        <f t="shared" si="16"/>
        <v>95.453320724280459</v>
      </c>
      <c r="H45" s="20">
        <f t="shared" si="16"/>
        <v>82.748547309516169</v>
      </c>
    </row>
    <row r="46" spans="1:8" x14ac:dyDescent="0.25">
      <c r="A46" s="20" t="s">
        <v>32</v>
      </c>
      <c r="B46" s="20">
        <f>AVERAGE(B44:B45)</f>
        <v>98.251088609879019</v>
      </c>
      <c r="C46" s="20">
        <f t="shared" ref="C46:H46" si="18">AVERAGE(C44:C45)</f>
        <v>98.352021859550049</v>
      </c>
      <c r="D46" s="20">
        <f t="shared" ref="D46" si="19">AVERAGE(D44:D45)</f>
        <v>98.269853548534527</v>
      </c>
      <c r="E46" s="20">
        <f t="shared" si="18"/>
        <v>98.370733120816794</v>
      </c>
      <c r="F46" s="20">
        <f t="shared" si="18"/>
        <v>97.954987740932808</v>
      </c>
      <c r="G46" s="20">
        <f t="shared" si="18"/>
        <v>97.726660362140223</v>
      </c>
      <c r="H46" s="20">
        <f t="shared" si="18"/>
        <v>91.374273654758085</v>
      </c>
    </row>
    <row r="48" spans="1:8" x14ac:dyDescent="0.25">
      <c r="A48" s="20" t="s">
        <v>33</v>
      </c>
    </row>
    <row r="49" spans="1:8" x14ac:dyDescent="0.25">
      <c r="A49" s="20" t="s">
        <v>34</v>
      </c>
      <c r="B49" s="20">
        <f>B12/(B13)*100</f>
        <v>100</v>
      </c>
      <c r="C49" s="20">
        <f t="shared" ref="C49:H49" si="20">C12/(C13)*100</f>
        <v>100</v>
      </c>
      <c r="D49" s="20">
        <f t="shared" si="20"/>
        <v>100</v>
      </c>
      <c r="E49" s="20">
        <f t="shared" si="20"/>
        <v>100</v>
      </c>
      <c r="F49" s="20">
        <f t="shared" si="20"/>
        <v>100</v>
      </c>
      <c r="G49" s="20">
        <f t="shared" si="20"/>
        <v>100</v>
      </c>
      <c r="H49" s="20">
        <f t="shared" si="20"/>
        <v>100</v>
      </c>
    </row>
    <row r="50" spans="1:8" x14ac:dyDescent="0.25">
      <c r="A50" s="20" t="s">
        <v>35</v>
      </c>
      <c r="B50" s="20">
        <f>B18/B19*100</f>
        <v>17.545850403592375</v>
      </c>
      <c r="C50" s="20">
        <f t="shared" ref="C50:H50" si="21">C18/C19*100</f>
        <v>17.582553403472744</v>
      </c>
      <c r="D50" s="20">
        <f t="shared" ref="D50" si="22">D18/D19*100</f>
        <v>17.552674017648918</v>
      </c>
      <c r="E50" s="20">
        <f t="shared" si="21"/>
        <v>17.589357498478837</v>
      </c>
      <c r="F50" s="20">
        <f t="shared" si="21"/>
        <v>17.438177360339207</v>
      </c>
      <c r="G50" s="20">
        <f t="shared" si="21"/>
        <v>17.355149222596449</v>
      </c>
      <c r="H50" s="20">
        <f t="shared" si="21"/>
        <v>15.04519041991203</v>
      </c>
    </row>
    <row r="51" spans="1:8" x14ac:dyDescent="0.25">
      <c r="A51" s="20" t="s">
        <v>36</v>
      </c>
      <c r="B51" s="20">
        <f>(B49+B50)/2</f>
        <v>58.772925201796184</v>
      </c>
      <c r="C51" s="20">
        <f t="shared" ref="C51:H51" si="23">(C49+C50)/2</f>
        <v>58.791276701736372</v>
      </c>
      <c r="D51" s="20">
        <f t="shared" ref="D51" si="24">(D49+D50)/2</f>
        <v>58.776337008824456</v>
      </c>
      <c r="E51" s="20">
        <f t="shared" si="23"/>
        <v>58.794678749239417</v>
      </c>
      <c r="F51" s="20">
        <f t="shared" si="23"/>
        <v>58.719088680169605</v>
      </c>
      <c r="G51" s="20">
        <f t="shared" si="23"/>
        <v>58.677574611298226</v>
      </c>
      <c r="H51" s="20">
        <f t="shared" si="23"/>
        <v>57.522595209956016</v>
      </c>
    </row>
    <row r="53" spans="1:8" x14ac:dyDescent="0.25">
      <c r="A53" s="20" t="s">
        <v>93</v>
      </c>
    </row>
    <row r="54" spans="1:8" x14ac:dyDescent="0.25">
      <c r="A54" s="20" t="s">
        <v>37</v>
      </c>
      <c r="B54" s="20">
        <f>(B20/B18)*100</f>
        <v>100</v>
      </c>
    </row>
    <row r="56" spans="1:8" x14ac:dyDescent="0.25">
      <c r="A56" s="20" t="s">
        <v>38</v>
      </c>
    </row>
    <row r="57" spans="1:8" x14ac:dyDescent="0.25">
      <c r="A57" s="20" t="s">
        <v>39</v>
      </c>
      <c r="B57" s="20">
        <f>((B12/B10)-1)*100</f>
        <v>0.30049598774144481</v>
      </c>
      <c r="C57" s="20">
        <f t="shared" ref="C57:H57" si="25">((C12/C10)-1)*100</f>
        <v>3.0682699929609702</v>
      </c>
      <c r="D57" s="20">
        <f t="shared" ref="D57" si="26">((D12/D10)-1)*100</f>
        <v>-9.5760882890057015</v>
      </c>
      <c r="E57" s="20">
        <f t="shared" si="25"/>
        <v>-12.896862251583451</v>
      </c>
      <c r="F57" s="20">
        <f t="shared" si="25"/>
        <v>1.7172051268147914</v>
      </c>
      <c r="G57" s="20">
        <f t="shared" si="25"/>
        <v>-1.322764055262371</v>
      </c>
      <c r="H57" s="20">
        <f t="shared" si="25"/>
        <v>6.0559959929069374</v>
      </c>
    </row>
    <row r="58" spans="1:8" x14ac:dyDescent="0.25">
      <c r="A58" s="20" t="s">
        <v>40</v>
      </c>
      <c r="B58" s="20">
        <f>((B33/B32)-1)*100</f>
        <v>-8.4272365123364779</v>
      </c>
      <c r="C58" s="20">
        <f>((C33/C32)-1)*100</f>
        <v>-10.382203607558804</v>
      </c>
      <c r="D58" s="20">
        <f>((D33/D32)-1)*100</f>
        <v>-0.11604441197362592</v>
      </c>
      <c r="E58" s="20">
        <f t="shared" ref="E58:G58" si="27">((E33/E32)-1)*100</f>
        <v>1.4096616673137552</v>
      </c>
      <c r="F58" s="20">
        <f t="shared" si="27"/>
        <v>-4.6331489409358824</v>
      </c>
      <c r="G58" s="20">
        <f t="shared" si="27"/>
        <v>7.8805579512262192</v>
      </c>
      <c r="H58" s="20">
        <f>((H33/H32)-1)*100</f>
        <v>-5.6345904705393801</v>
      </c>
    </row>
    <row r="59" spans="1:8" x14ac:dyDescent="0.25">
      <c r="A59" s="20" t="s">
        <v>41</v>
      </c>
      <c r="B59" s="20">
        <f>((B35/B34)-1)*100</f>
        <v>-8.7015845875224702</v>
      </c>
      <c r="C59" s="20">
        <f t="shared" ref="C59:H59" si="28">((C35/C34)-1)*100</f>
        <v>-13.050062450294719</v>
      </c>
      <c r="D59" s="20">
        <f t="shared" ref="D59" si="29">((D35/D34)-1)*100</f>
        <v>10.461883032960916</v>
      </c>
      <c r="E59" s="20">
        <f t="shared" si="28"/>
        <v>16.424808897492671</v>
      </c>
      <c r="F59" s="20">
        <f t="shared" si="28"/>
        <v>-6.243146437058944</v>
      </c>
      <c r="G59" s="20">
        <f t="shared" si="28"/>
        <v>9.3266921376301539</v>
      </c>
      <c r="H59" s="20">
        <f t="shared" si="28"/>
        <v>-11.023032082248497</v>
      </c>
    </row>
    <row r="60" spans="1:8" x14ac:dyDescent="0.25">
      <c r="B60" s="26"/>
      <c r="C60" s="26"/>
      <c r="D60" s="26"/>
      <c r="E60" s="26"/>
      <c r="F60" s="26"/>
    </row>
    <row r="61" spans="1:8" x14ac:dyDescent="0.25">
      <c r="A61" s="20" t="s">
        <v>42</v>
      </c>
    </row>
    <row r="62" spans="1:8" x14ac:dyDescent="0.25">
      <c r="A62" s="20" t="s">
        <v>128</v>
      </c>
      <c r="B62" s="20">
        <f>B17/(B11*3)</f>
        <v>3934.1102756276678</v>
      </c>
      <c r="C62" s="20">
        <f t="shared" ref="C62:H62" si="30">C17/(C11*3)</f>
        <v>3967.2520566459702</v>
      </c>
      <c r="D62" s="20">
        <f t="shared" si="30"/>
        <v>3817.9320651297676</v>
      </c>
      <c r="E62" s="20">
        <f t="shared" si="30"/>
        <v>3884.4206156236141</v>
      </c>
      <c r="F62" s="20">
        <f t="shared" si="30"/>
        <v>3624.3043399547787</v>
      </c>
      <c r="G62" s="20">
        <f t="shared" si="30"/>
        <v>4208.7294298108955</v>
      </c>
      <c r="H62" s="20">
        <f t="shared" si="30"/>
        <v>3572.3164526105702</v>
      </c>
    </row>
    <row r="63" spans="1:8" x14ac:dyDescent="0.25">
      <c r="A63" s="20" t="s">
        <v>129</v>
      </c>
      <c r="B63" s="20">
        <f>B18/(B12*3)</f>
        <v>3796.5020702069241</v>
      </c>
      <c r="C63" s="20">
        <f t="shared" ref="C63:H63" si="31">C18/(C12*3)</f>
        <v>3836.4931633058168</v>
      </c>
      <c r="D63" s="20">
        <f t="shared" si="31"/>
        <v>3685.8204328413576</v>
      </c>
      <c r="E63" s="20">
        <f t="shared" si="31"/>
        <v>3757.8454585465747</v>
      </c>
      <c r="F63" s="20">
        <f t="shared" si="31"/>
        <v>3476.0694038388206</v>
      </c>
      <c r="G63" s="20">
        <f t="shared" si="31"/>
        <v>4017.3720010545744</v>
      </c>
      <c r="H63" s="20">
        <f t="shared" si="31"/>
        <v>2956.0399698340875</v>
      </c>
    </row>
    <row r="64" spans="1:8" x14ac:dyDescent="0.25">
      <c r="A64" s="20" t="s">
        <v>43</v>
      </c>
      <c r="B64" s="20">
        <f>(B62/B63)*B46</f>
        <v>101.81230252053101</v>
      </c>
      <c r="C64" s="20">
        <f t="shared" ref="C64:H64" si="32">(C62/C63)*C46</f>
        <v>101.70414604919407</v>
      </c>
      <c r="D64" s="20">
        <f t="shared" ref="D64" si="33">(D62/D63)*D46</f>
        <v>101.79216045240931</v>
      </c>
      <c r="E64" s="20">
        <f t="shared" si="32"/>
        <v>101.68414532307557</v>
      </c>
      <c r="F64" s="20">
        <f t="shared" si="32"/>
        <v>102.132220604575</v>
      </c>
      <c r="G64" s="20">
        <f t="shared" si="32"/>
        <v>102.38162446377991</v>
      </c>
      <c r="H64" s="20">
        <f t="shared" si="32"/>
        <v>110.42402147916613</v>
      </c>
    </row>
    <row r="65" spans="1:8" x14ac:dyDescent="0.25">
      <c r="A65" s="20" t="s">
        <v>130</v>
      </c>
      <c r="B65" s="20">
        <f>B17/B11</f>
        <v>11802.330826883002</v>
      </c>
      <c r="C65" s="20">
        <f t="shared" ref="C65:H65" si="34">C17/C11</f>
        <v>11901.756169937911</v>
      </c>
      <c r="D65" s="20">
        <f t="shared" si="34"/>
        <v>11453.796195389303</v>
      </c>
      <c r="E65" s="20">
        <f t="shared" si="34"/>
        <v>11653.261846870842</v>
      </c>
      <c r="F65" s="20">
        <f t="shared" si="34"/>
        <v>10872.913019864336</v>
      </c>
      <c r="G65" s="20">
        <f t="shared" si="34"/>
        <v>12626.188289432686</v>
      </c>
      <c r="H65" s="20">
        <f t="shared" si="34"/>
        <v>10716.949357831711</v>
      </c>
    </row>
    <row r="66" spans="1:8" x14ac:dyDescent="0.25">
      <c r="A66" s="20" t="s">
        <v>131</v>
      </c>
      <c r="B66" s="20">
        <f>B18/B12</f>
        <v>11389.506210620773</v>
      </c>
      <c r="C66" s="20">
        <f t="shared" ref="C66:H66" si="35">C18/C12</f>
        <v>11509.47948991745</v>
      </c>
      <c r="D66" s="20">
        <f t="shared" si="35"/>
        <v>11057.461298524073</v>
      </c>
      <c r="E66" s="20">
        <f t="shared" si="35"/>
        <v>11273.536375639724</v>
      </c>
      <c r="F66" s="20">
        <f t="shared" si="35"/>
        <v>10428.208211516461</v>
      </c>
      <c r="G66" s="20">
        <f t="shared" si="35"/>
        <v>12052.116003163723</v>
      </c>
      <c r="H66" s="20">
        <f t="shared" si="35"/>
        <v>8868.1199095022621</v>
      </c>
    </row>
    <row r="68" spans="1:8" x14ac:dyDescent="0.25">
      <c r="A68" s="20" t="s">
        <v>44</v>
      </c>
    </row>
    <row r="69" spans="1:8" x14ac:dyDescent="0.25">
      <c r="A69" s="20" t="s">
        <v>45</v>
      </c>
      <c r="B69" s="26">
        <f>(B24/B23)*100</f>
        <v>32.854109809475815</v>
      </c>
    </row>
    <row r="70" spans="1:8" x14ac:dyDescent="0.25">
      <c r="A70" s="20" t="s">
        <v>46</v>
      </c>
      <c r="B70" s="26">
        <f>(B18/B24)*100</f>
        <v>281.21812767002166</v>
      </c>
    </row>
    <row r="71" spans="1:8" ht="15.75" thickBot="1" x14ac:dyDescent="0.3">
      <c r="A71" s="29"/>
      <c r="B71" s="29"/>
      <c r="C71" s="29"/>
      <c r="D71" s="29"/>
      <c r="E71" s="29"/>
      <c r="F71" s="29"/>
      <c r="G71" s="29"/>
      <c r="H71" s="29"/>
    </row>
    <row r="72" spans="1:8" ht="15.75" thickTop="1" x14ac:dyDescent="0.25"/>
    <row r="73" spans="1:8" x14ac:dyDescent="0.25">
      <c r="A73" s="30" t="s">
        <v>58</v>
      </c>
    </row>
    <row r="74" spans="1:8" x14ac:dyDescent="0.25">
      <c r="A74" s="20" t="s">
        <v>118</v>
      </c>
    </row>
    <row r="75" spans="1:8" x14ac:dyDescent="0.25">
      <c r="A75" s="20" t="s">
        <v>119</v>
      </c>
    </row>
    <row r="76" spans="1:8" x14ac:dyDescent="0.25">
      <c r="A76" s="20" t="s">
        <v>59</v>
      </c>
    </row>
    <row r="77" spans="1:8" x14ac:dyDescent="0.25">
      <c r="A77" s="20" t="s">
        <v>120</v>
      </c>
    </row>
    <row r="79" spans="1:8" x14ac:dyDescent="0.25">
      <c r="A79" s="20" t="s">
        <v>121</v>
      </c>
    </row>
    <row r="80" spans="1:8" x14ac:dyDescent="0.25">
      <c r="A80" s="31" t="s">
        <v>122</v>
      </c>
    </row>
    <row r="81" spans="1:1" x14ac:dyDescent="0.25">
      <c r="A81" s="31" t="s">
        <v>123</v>
      </c>
    </row>
    <row r="82" spans="1:1" x14ac:dyDescent="0.25">
      <c r="A82" s="31" t="s">
        <v>124</v>
      </c>
    </row>
    <row r="83" spans="1:1" x14ac:dyDescent="0.25">
      <c r="A83" s="31" t="s">
        <v>125</v>
      </c>
    </row>
    <row r="84" spans="1:1" x14ac:dyDescent="0.25">
      <c r="A84" s="32" t="s">
        <v>126</v>
      </c>
    </row>
  </sheetData>
  <mergeCells count="3">
    <mergeCell ref="A4:A5"/>
    <mergeCell ref="C4:H4"/>
    <mergeCell ref="A2:I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topLeftCell="A94" workbookViewId="0">
      <selection activeCell="C54" sqref="C54:H54"/>
    </sheetView>
  </sheetViews>
  <sheetFormatPr baseColWidth="10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43" t="s">
        <v>47</v>
      </c>
      <c r="B2" s="43"/>
      <c r="C2" s="43"/>
      <c r="D2" s="43"/>
      <c r="E2" s="43"/>
      <c r="F2" s="43"/>
      <c r="G2" s="43"/>
      <c r="H2" s="43"/>
    </row>
    <row r="4" spans="1:8" x14ac:dyDescent="0.25">
      <c r="A4" s="38" t="s">
        <v>1</v>
      </c>
      <c r="B4" s="40" t="s">
        <v>2</v>
      </c>
      <c r="C4" s="42" t="s">
        <v>3</v>
      </c>
      <c r="D4" s="42"/>
      <c r="E4" s="42"/>
      <c r="F4" s="42"/>
      <c r="G4" s="42"/>
      <c r="H4" s="42"/>
    </row>
    <row r="5" spans="1:8" ht="15.75" thickBot="1" x14ac:dyDescent="0.3">
      <c r="A5" s="39"/>
      <c r="B5" s="41"/>
      <c r="C5" s="1" t="s">
        <v>4</v>
      </c>
      <c r="D5" s="1" t="s">
        <v>94</v>
      </c>
      <c r="E5" s="1" t="s">
        <v>95</v>
      </c>
      <c r="F5" s="1" t="s">
        <v>96</v>
      </c>
      <c r="G5" s="1" t="s">
        <v>5</v>
      </c>
      <c r="H5" s="1" t="s">
        <v>6</v>
      </c>
    </row>
    <row r="6" spans="1:8" ht="15.75" thickTop="1" x14ac:dyDescent="0.25"/>
    <row r="7" spans="1:8" x14ac:dyDescent="0.25">
      <c r="A7" s="2" t="s">
        <v>7</v>
      </c>
    </row>
    <row r="9" spans="1:8" x14ac:dyDescent="0.25">
      <c r="A9" t="s">
        <v>8</v>
      </c>
    </row>
    <row r="10" spans="1:8" x14ac:dyDescent="0.25">
      <c r="A10" s="3" t="s">
        <v>48</v>
      </c>
      <c r="B10" s="4">
        <f>619975</f>
        <v>619975</v>
      </c>
      <c r="C10" s="13">
        <f>$B$10*0.7621</f>
        <v>472482.94750000001</v>
      </c>
      <c r="D10" s="13">
        <f>E10+F10</f>
        <v>136146.50999999998</v>
      </c>
      <c r="E10" s="13">
        <f>$B$10*0.1697</f>
        <v>105209.75749999999</v>
      </c>
      <c r="F10" s="13">
        <f>$B$10*0.0499</f>
        <v>30936.752499999999</v>
      </c>
      <c r="G10" s="13">
        <f>$B$10*0.0062</f>
        <v>3843.8449999999998</v>
      </c>
      <c r="H10" s="13">
        <f>$B$10*0.0121</f>
        <v>7501.6975000000002</v>
      </c>
    </row>
    <row r="11" spans="1:8" x14ac:dyDescent="0.25">
      <c r="A11" s="3" t="s">
        <v>49</v>
      </c>
      <c r="B11" s="4">
        <f>C11+D11+G11+H11</f>
        <v>621838</v>
      </c>
      <c r="C11" s="4">
        <f>486980</f>
        <v>486980</v>
      </c>
      <c r="D11" s="13">
        <f t="shared" ref="D11" si="0">E11+F11</f>
        <v>123109</v>
      </c>
      <c r="E11" s="4">
        <f>91641</f>
        <v>91641</v>
      </c>
      <c r="F11" s="4">
        <f>31468</f>
        <v>31468</v>
      </c>
      <c r="G11" s="4">
        <f>3793</f>
        <v>3793</v>
      </c>
      <c r="H11" s="4">
        <f>7956</f>
        <v>7956</v>
      </c>
    </row>
    <row r="12" spans="1:8" x14ac:dyDescent="0.25">
      <c r="A12" s="3" t="s">
        <v>50</v>
      </c>
      <c r="B12" s="4">
        <f t="shared" ref="B12" si="1">C12+D12+G12+H12</f>
        <v>623807</v>
      </c>
      <c r="C12" s="4">
        <v>486851</v>
      </c>
      <c r="D12" s="13">
        <f t="shared" ref="D12:D13" si="2">E12+F12</f>
        <v>123936</v>
      </c>
      <c r="E12" s="4">
        <v>92468</v>
      </c>
      <c r="F12" s="4">
        <v>31468</v>
      </c>
      <c r="G12" s="4">
        <v>3793</v>
      </c>
      <c r="H12" s="4">
        <v>9227</v>
      </c>
    </row>
    <row r="13" spans="1:8" x14ac:dyDescent="0.25">
      <c r="A13" s="3" t="s">
        <v>12</v>
      </c>
      <c r="B13" s="4">
        <f>C13+D13+G13+H13</f>
        <v>621838</v>
      </c>
      <c r="C13" s="4">
        <f>486980</f>
        <v>486980</v>
      </c>
      <c r="D13" s="13">
        <f t="shared" si="2"/>
        <v>123109</v>
      </c>
      <c r="E13" s="4">
        <f>91641</f>
        <v>91641</v>
      </c>
      <c r="F13" s="4">
        <f>31468</f>
        <v>31468</v>
      </c>
      <c r="G13" s="4">
        <f>3793</f>
        <v>3793</v>
      </c>
      <c r="H13" s="4">
        <f>7956</f>
        <v>7956</v>
      </c>
    </row>
    <row r="15" spans="1:8" x14ac:dyDescent="0.25">
      <c r="A15" s="5" t="s">
        <v>13</v>
      </c>
    </row>
    <row r="16" spans="1:8" x14ac:dyDescent="0.25">
      <c r="A16" s="3" t="s">
        <v>48</v>
      </c>
      <c r="B16" s="4">
        <f>C16+D16+G16+H16</f>
        <v>11084361973.363634</v>
      </c>
      <c r="C16" s="13">
        <v>8963289310.363636</v>
      </c>
      <c r="D16" s="13">
        <f>E16+F16</f>
        <v>1953189430.090909</v>
      </c>
      <c r="E16" s="13">
        <v>1460042584.909091</v>
      </c>
      <c r="F16" s="13">
        <v>493146845.18181813</v>
      </c>
      <c r="G16" s="13">
        <v>60729237.545454547</v>
      </c>
      <c r="H16" s="13">
        <v>107153995.36363636</v>
      </c>
    </row>
    <row r="17" spans="1:9" x14ac:dyDescent="0.25">
      <c r="A17" s="3" t="s">
        <v>49</v>
      </c>
      <c r="B17" s="4">
        <f>C17+D17+G17+H17</f>
        <v>11008706695.09091</v>
      </c>
      <c r="C17" s="6">
        <v>8693875829.454546</v>
      </c>
      <c r="D17" s="13">
        <f t="shared" ref="D17:D19" si="3">E17+F17</f>
        <v>2115098093.7272725</v>
      </c>
      <c r="E17" s="6">
        <v>1601874853.3636363</v>
      </c>
      <c r="F17" s="6">
        <v>513223240.36363637</v>
      </c>
      <c r="G17" s="6">
        <v>71836698.272727266</v>
      </c>
      <c r="H17" s="6">
        <v>127896073.63636364</v>
      </c>
    </row>
    <row r="18" spans="1:9" x14ac:dyDescent="0.25">
      <c r="A18" s="3" t="s">
        <v>50</v>
      </c>
      <c r="B18" s="4">
        <f t="shared" ref="B18" si="4">C18+D18+G18+H18</f>
        <v>12253770867</v>
      </c>
      <c r="C18" s="6">
        <v>9681115749</v>
      </c>
      <c r="D18" s="13">
        <f t="shared" si="3"/>
        <v>2343410796</v>
      </c>
      <c r="E18" s="6">
        <v>1776395197</v>
      </c>
      <c r="F18" s="6">
        <v>567015599</v>
      </c>
      <c r="G18" s="6">
        <v>79061969</v>
      </c>
      <c r="H18" s="6">
        <v>150182353</v>
      </c>
    </row>
    <row r="19" spans="1:9" x14ac:dyDescent="0.25">
      <c r="A19" s="3" t="s">
        <v>12</v>
      </c>
      <c r="B19" s="4">
        <f>C19+D19+G19+H19</f>
        <v>40365257882</v>
      </c>
      <c r="C19" s="6">
        <v>31877544708</v>
      </c>
      <c r="D19" s="13">
        <f t="shared" si="3"/>
        <v>7755359677</v>
      </c>
      <c r="E19" s="6">
        <v>5873541129</v>
      </c>
      <c r="F19" s="6">
        <v>1881818548</v>
      </c>
      <c r="G19" s="6">
        <v>263401227</v>
      </c>
      <c r="H19" s="6">
        <v>468952270</v>
      </c>
      <c r="I19" s="6"/>
    </row>
    <row r="20" spans="1:9" x14ac:dyDescent="0.25">
      <c r="A20" s="3" t="s">
        <v>51</v>
      </c>
      <c r="B20" s="6">
        <f>B18</f>
        <v>12253770867</v>
      </c>
      <c r="C20" s="6">
        <f t="shared" ref="C20:H20" si="5">C18</f>
        <v>9681115749</v>
      </c>
      <c r="D20" s="6">
        <f t="shared" si="5"/>
        <v>2343410796</v>
      </c>
      <c r="E20" s="6">
        <f t="shared" si="5"/>
        <v>1776395197</v>
      </c>
      <c r="F20" s="6">
        <f t="shared" si="5"/>
        <v>567015599</v>
      </c>
      <c r="G20" s="6">
        <f t="shared" si="5"/>
        <v>79061969</v>
      </c>
      <c r="H20" s="6">
        <f t="shared" si="5"/>
        <v>150182353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15</v>
      </c>
      <c r="B22" s="4"/>
      <c r="C22" s="4"/>
      <c r="D22" s="4"/>
      <c r="E22" s="4"/>
      <c r="F22" s="4"/>
    </row>
    <row r="23" spans="1:9" x14ac:dyDescent="0.25">
      <c r="A23" s="3" t="s">
        <v>49</v>
      </c>
      <c r="B23" s="4">
        <v>12002656979.100605</v>
      </c>
      <c r="I23" s="11"/>
    </row>
    <row r="24" spans="1:9" x14ac:dyDescent="0.25">
      <c r="A24" s="3" t="s">
        <v>50</v>
      </c>
      <c r="B24" s="4">
        <v>12333320533</v>
      </c>
    </row>
    <row r="26" spans="1:9" x14ac:dyDescent="0.25">
      <c r="A26" t="s">
        <v>16</v>
      </c>
    </row>
    <row r="27" spans="1:9" x14ac:dyDescent="0.25">
      <c r="A27" s="3" t="s">
        <v>52</v>
      </c>
      <c r="B27">
        <v>1.39</v>
      </c>
      <c r="C27">
        <v>1.39</v>
      </c>
      <c r="D27">
        <v>1.39</v>
      </c>
      <c r="E27">
        <v>1.39</v>
      </c>
      <c r="F27">
        <v>1.39</v>
      </c>
      <c r="G27">
        <v>1.39</v>
      </c>
      <c r="H27">
        <v>1.39</v>
      </c>
    </row>
    <row r="28" spans="1:9" x14ac:dyDescent="0.25">
      <c r="A28" s="3" t="s">
        <v>53</v>
      </c>
      <c r="B28">
        <v>1.46</v>
      </c>
      <c r="C28">
        <v>1.46</v>
      </c>
      <c r="D28">
        <v>1.46</v>
      </c>
      <c r="E28">
        <v>1.46</v>
      </c>
      <c r="F28">
        <v>1.46</v>
      </c>
      <c r="G28">
        <v>1.46</v>
      </c>
      <c r="H28">
        <v>1.46</v>
      </c>
    </row>
    <row r="29" spans="1:9" x14ac:dyDescent="0.25">
      <c r="A29" s="3" t="s">
        <v>19</v>
      </c>
      <c r="B29" s="4">
        <f>+C29+D29+G29+H29</f>
        <v>383178</v>
      </c>
      <c r="C29" s="4">
        <v>234572</v>
      </c>
      <c r="D29" s="4">
        <v>140620</v>
      </c>
      <c r="E29" s="17">
        <v>127792</v>
      </c>
      <c r="F29" s="17">
        <v>12828</v>
      </c>
      <c r="G29" s="4">
        <v>1392</v>
      </c>
      <c r="H29" s="4">
        <v>6594</v>
      </c>
    </row>
    <row r="31" spans="1:9" x14ac:dyDescent="0.25">
      <c r="A31" s="3" t="s">
        <v>20</v>
      </c>
    </row>
    <row r="32" spans="1:9" x14ac:dyDescent="0.25">
      <c r="A32" s="3" t="s">
        <v>54</v>
      </c>
      <c r="B32" s="6">
        <f t="shared" ref="B32:H32" si="6">B16/B27</f>
        <v>7974361131.9162846</v>
      </c>
      <c r="C32" s="6">
        <f t="shared" si="6"/>
        <v>6448409575.801177</v>
      </c>
      <c r="D32" s="6">
        <f t="shared" ref="D32" si="7">D16/D27</f>
        <v>1405172251.8639634</v>
      </c>
      <c r="E32" s="6">
        <f t="shared" si="6"/>
        <v>1050390348.8554612</v>
      </c>
      <c r="F32" s="6">
        <f t="shared" si="6"/>
        <v>354781903.0085023</v>
      </c>
      <c r="G32" s="6">
        <f t="shared" si="6"/>
        <v>43690098.953564428</v>
      </c>
      <c r="H32" s="6">
        <f t="shared" si="6"/>
        <v>77089205.297580123</v>
      </c>
    </row>
    <row r="33" spans="1:8" x14ac:dyDescent="0.25">
      <c r="A33" s="3" t="s">
        <v>55</v>
      </c>
      <c r="B33" s="6">
        <f t="shared" ref="B33:H33" si="8">B18/B28</f>
        <v>8392993744.5205479</v>
      </c>
      <c r="C33" s="6">
        <f t="shared" si="8"/>
        <v>6630901197.9452057</v>
      </c>
      <c r="D33" s="6">
        <f t="shared" ref="D33" si="9">D18/D28</f>
        <v>1605075887.6712329</v>
      </c>
      <c r="E33" s="6">
        <f t="shared" si="8"/>
        <v>1216709039.041096</v>
      </c>
      <c r="F33" s="6">
        <f t="shared" si="8"/>
        <v>388366848.63013697</v>
      </c>
      <c r="G33" s="6">
        <f t="shared" si="8"/>
        <v>54152033.561643839</v>
      </c>
      <c r="H33" s="6">
        <f t="shared" si="8"/>
        <v>102864625.34246576</v>
      </c>
    </row>
    <row r="34" spans="1:8" x14ac:dyDescent="0.25">
      <c r="A34" s="3" t="s">
        <v>56</v>
      </c>
      <c r="B34" s="14">
        <f>B32/B10</f>
        <v>12862.391438229421</v>
      </c>
      <c r="C34" s="14">
        <f t="shared" ref="C34:H34" si="10">C32/C10</f>
        <v>13647.920226372142</v>
      </c>
      <c r="D34" s="14">
        <f t="shared" ref="D34" si="11">D32/D10</f>
        <v>10321.030277338461</v>
      </c>
      <c r="E34" s="14">
        <f>E32/E10</f>
        <v>9983.7731196696404</v>
      </c>
      <c r="F34" s="14">
        <f t="shared" si="10"/>
        <v>11467.974959831428</v>
      </c>
      <c r="G34" s="14">
        <f t="shared" si="10"/>
        <v>11366.248887133697</v>
      </c>
      <c r="H34" s="14">
        <f t="shared" si="10"/>
        <v>10276.234851855879</v>
      </c>
    </row>
    <row r="35" spans="1:8" x14ac:dyDescent="0.25">
      <c r="A35" s="3" t="s">
        <v>57</v>
      </c>
      <c r="B35" s="6">
        <f t="shared" ref="B35:H35" si="12">B33/B12</f>
        <v>13454.471887171108</v>
      </c>
      <c r="C35" s="6">
        <f t="shared" si="12"/>
        <v>13619.980646943737</v>
      </c>
      <c r="D35" s="6">
        <f t="shared" ref="D35" si="13">D33/D12</f>
        <v>12950.844691382916</v>
      </c>
      <c r="E35" s="6">
        <f t="shared" si="12"/>
        <v>13158.163246107799</v>
      </c>
      <c r="F35" s="6">
        <f t="shared" si="12"/>
        <v>12341.64384867602</v>
      </c>
      <c r="G35" s="6">
        <f t="shared" si="12"/>
        <v>14276.834579921919</v>
      </c>
      <c r="H35" s="6">
        <f t="shared" si="12"/>
        <v>11148.219935240681</v>
      </c>
    </row>
    <row r="37" spans="1:8" x14ac:dyDescent="0.25">
      <c r="A37" s="2" t="s">
        <v>25</v>
      </c>
    </row>
    <row r="39" spans="1:8" x14ac:dyDescent="0.25">
      <c r="A39" t="s">
        <v>26</v>
      </c>
    </row>
    <row r="40" spans="1:8" x14ac:dyDescent="0.25">
      <c r="A40" t="s">
        <v>27</v>
      </c>
      <c r="B40" s="7">
        <f>(B11)/B29*100</f>
        <v>162.28436914436634</v>
      </c>
      <c r="C40" s="7">
        <f t="shared" ref="C40:H40" si="14">(C11)/C29*100</f>
        <v>207.60363555752605</v>
      </c>
      <c r="D40" s="7">
        <f t="shared" si="14"/>
        <v>87.547290570331398</v>
      </c>
      <c r="E40" s="7">
        <f t="shared" si="14"/>
        <v>71.711061725303608</v>
      </c>
      <c r="F40" s="7">
        <f t="shared" si="14"/>
        <v>245.30714062987212</v>
      </c>
      <c r="G40" s="7">
        <f t="shared" si="14"/>
        <v>272.48563218390808</v>
      </c>
      <c r="H40" s="7">
        <f t="shared" si="14"/>
        <v>120.65514103730663</v>
      </c>
    </row>
    <row r="41" spans="1:8" x14ac:dyDescent="0.25">
      <c r="A41" t="s">
        <v>28</v>
      </c>
      <c r="B41" s="7">
        <f>(B12)/B29*100</f>
        <v>162.79822954344979</v>
      </c>
      <c r="C41" s="7">
        <f t="shared" ref="C41:H41" si="15">(C12)/C29*100</f>
        <v>207.54864178162782</v>
      </c>
      <c r="D41" s="7">
        <f t="shared" si="15"/>
        <v>88.135400369790929</v>
      </c>
      <c r="E41" s="7">
        <f t="shared" si="15"/>
        <v>72.358207086515591</v>
      </c>
      <c r="F41" s="7">
        <f t="shared" si="15"/>
        <v>245.30714062987212</v>
      </c>
      <c r="G41" s="7">
        <f t="shared" si="15"/>
        <v>272.48563218390808</v>
      </c>
      <c r="H41" s="7">
        <f t="shared" si="15"/>
        <v>139.93023961176826</v>
      </c>
    </row>
    <row r="43" spans="1:8" x14ac:dyDescent="0.25">
      <c r="A43" t="s">
        <v>29</v>
      </c>
    </row>
    <row r="44" spans="1:8" x14ac:dyDescent="0.25">
      <c r="A44" t="s">
        <v>30</v>
      </c>
      <c r="B44" s="7">
        <f>B12/B11*100</f>
        <v>100.31664195497862</v>
      </c>
      <c r="C44" s="7">
        <f t="shared" ref="C44:H44" si="16">C12/C11*100</f>
        <v>99.973510205757933</v>
      </c>
      <c r="D44" s="7">
        <f t="shared" ref="D44" si="17">D12/D11*100</f>
        <v>100.6717624219188</v>
      </c>
      <c r="E44" s="7">
        <f t="shared" si="16"/>
        <v>100.90243449984177</v>
      </c>
      <c r="F44" s="7">
        <f t="shared" si="16"/>
        <v>100</v>
      </c>
      <c r="G44" s="7">
        <f t="shared" si="16"/>
        <v>100</v>
      </c>
      <c r="H44" s="7">
        <f t="shared" si="16"/>
        <v>115.97536450477628</v>
      </c>
    </row>
    <row r="45" spans="1:8" x14ac:dyDescent="0.25">
      <c r="A45" t="s">
        <v>31</v>
      </c>
      <c r="B45" s="7">
        <f>B18/B17*100</f>
        <v>111.30981328137572</v>
      </c>
      <c r="C45" s="7">
        <f t="shared" ref="C45:H45" si="18">C18/C17*100</f>
        <v>111.35557878800984</v>
      </c>
      <c r="D45" s="7">
        <f t="shared" ref="D45" si="19">D18/D17*100</f>
        <v>110.79442617578033</v>
      </c>
      <c r="E45" s="7">
        <f t="shared" si="18"/>
        <v>110.89475518452043</v>
      </c>
      <c r="F45" s="7">
        <f t="shared" si="18"/>
        <v>110.4812787897621</v>
      </c>
      <c r="G45" s="7">
        <f t="shared" si="18"/>
        <v>110.0579103731105</v>
      </c>
      <c r="H45" s="7">
        <f t="shared" si="18"/>
        <v>117.42530378766833</v>
      </c>
    </row>
    <row r="46" spans="1:8" x14ac:dyDescent="0.25">
      <c r="A46" t="s">
        <v>32</v>
      </c>
      <c r="B46" s="7">
        <f>AVERAGE(B44:B45)</f>
        <v>105.81322761817717</v>
      </c>
      <c r="C46" s="7">
        <f t="shared" ref="C46:H46" si="20">AVERAGE(C44:C45)</f>
        <v>105.66454449688388</v>
      </c>
      <c r="D46" s="7">
        <f t="shared" ref="D46" si="21">AVERAGE(D44:D45)</f>
        <v>105.73309429884957</v>
      </c>
      <c r="E46" s="7">
        <f t="shared" si="20"/>
        <v>105.8985948421811</v>
      </c>
      <c r="F46" s="7">
        <f t="shared" si="20"/>
        <v>105.24063939488104</v>
      </c>
      <c r="G46" s="7">
        <f t="shared" si="20"/>
        <v>105.02895518655525</v>
      </c>
      <c r="H46" s="7">
        <f t="shared" si="20"/>
        <v>116.7003341462223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33</v>
      </c>
    </row>
    <row r="49" spans="1:8" x14ac:dyDescent="0.25">
      <c r="A49" t="s">
        <v>34</v>
      </c>
      <c r="B49" s="7">
        <f>B12/(B13)*100</f>
        <v>100.31664195497862</v>
      </c>
      <c r="C49" s="7">
        <f t="shared" ref="C49:H49" si="22">C12/(C13)*100</f>
        <v>99.973510205757933</v>
      </c>
      <c r="D49" s="7">
        <f t="shared" si="22"/>
        <v>100.6717624219188</v>
      </c>
      <c r="E49" s="7">
        <f t="shared" si="22"/>
        <v>100.90243449984177</v>
      </c>
      <c r="F49" s="7">
        <f t="shared" si="22"/>
        <v>100</v>
      </c>
      <c r="G49" s="7">
        <f t="shared" si="22"/>
        <v>100</v>
      </c>
      <c r="H49" s="7">
        <f t="shared" si="22"/>
        <v>115.97536450477628</v>
      </c>
    </row>
    <row r="50" spans="1:8" x14ac:dyDescent="0.25">
      <c r="A50" t="s">
        <v>35</v>
      </c>
      <c r="B50" s="7">
        <f>B18/B19*100</f>
        <v>30.357221804011562</v>
      </c>
      <c r="C50" s="7">
        <f t="shared" ref="C50:H50" si="23">C18/C19*100</f>
        <v>30.369703305820867</v>
      </c>
      <c r="D50" s="7">
        <f t="shared" ref="D50" si="24">D18/D19*100</f>
        <v>30.216661684303723</v>
      </c>
      <c r="E50" s="7">
        <f t="shared" si="23"/>
        <v>30.244024141232838</v>
      </c>
      <c r="F50" s="7">
        <f t="shared" si="23"/>
        <v>30.131257851753301</v>
      </c>
      <c r="G50" s="7">
        <f t="shared" si="23"/>
        <v>30.015793738121044</v>
      </c>
      <c r="H50" s="7">
        <f t="shared" si="23"/>
        <v>32.025082851182276</v>
      </c>
    </row>
    <row r="51" spans="1:8" x14ac:dyDescent="0.25">
      <c r="A51" t="s">
        <v>36</v>
      </c>
      <c r="B51" s="7">
        <f>(B49+B50)/2</f>
        <v>65.336931879495097</v>
      </c>
      <c r="C51" s="7">
        <f t="shared" ref="C51:H51" si="25">(C49+C50)/2</f>
        <v>65.171606755789398</v>
      </c>
      <c r="D51" s="7">
        <f t="shared" ref="D51" si="26">(D49+D50)/2</f>
        <v>65.444212053111258</v>
      </c>
      <c r="E51" s="7">
        <f t="shared" si="25"/>
        <v>65.573229320537308</v>
      </c>
      <c r="F51" s="7">
        <f t="shared" si="25"/>
        <v>65.065628925876652</v>
      </c>
      <c r="G51" s="7">
        <f t="shared" si="25"/>
        <v>65.007896869060517</v>
      </c>
      <c r="H51" s="7">
        <f t="shared" si="25"/>
        <v>74.000223677979278</v>
      </c>
    </row>
    <row r="53" spans="1:8" x14ac:dyDescent="0.25">
      <c r="A53" t="s">
        <v>93</v>
      </c>
    </row>
    <row r="54" spans="1:8" x14ac:dyDescent="0.25">
      <c r="A54" t="s">
        <v>37</v>
      </c>
      <c r="B54" s="20">
        <f>(B20/B18)*100</f>
        <v>100</v>
      </c>
      <c r="C54" s="7"/>
      <c r="D54" s="7"/>
      <c r="E54" s="7"/>
      <c r="F54" s="7"/>
      <c r="G54" s="7"/>
      <c r="H54" s="7"/>
    </row>
    <row r="56" spans="1:8" x14ac:dyDescent="0.25">
      <c r="A56" t="s">
        <v>38</v>
      </c>
    </row>
    <row r="57" spans="1:8" x14ac:dyDescent="0.25">
      <c r="A57" t="s">
        <v>39</v>
      </c>
      <c r="B57" s="7">
        <f>((B12/B10)-1)*100</f>
        <v>0.6180894390902969</v>
      </c>
      <c r="C57" s="7">
        <f t="shared" ref="C57:H57" si="27">((C12/C10)-1)*100</f>
        <v>3.0409674203109693</v>
      </c>
      <c r="D57" s="7">
        <f t="shared" si="27"/>
        <v>-8.9686544297022266</v>
      </c>
      <c r="E57" s="7">
        <f t="shared" si="27"/>
        <v>-12.110813486097038</v>
      </c>
      <c r="F57" s="7">
        <f t="shared" si="27"/>
        <v>1.7172051268147914</v>
      </c>
      <c r="G57" s="7">
        <f t="shared" si="27"/>
        <v>-1.322764055262371</v>
      </c>
      <c r="H57" s="7">
        <f t="shared" si="27"/>
        <v>22.998827931944742</v>
      </c>
    </row>
    <row r="58" spans="1:8" x14ac:dyDescent="0.25">
      <c r="A58" t="s">
        <v>40</v>
      </c>
      <c r="B58" s="7">
        <f>((B33/B32)-1)*100</f>
        <v>5.2497323068144475</v>
      </c>
      <c r="C58" s="7">
        <f t="shared" ref="C58:H58" si="28">((C33/C32)-1)*100</f>
        <v>2.8300252953668004</v>
      </c>
      <c r="D58" s="7">
        <f t="shared" si="28"/>
        <v>14.226272653911076</v>
      </c>
      <c r="E58" s="7">
        <f t="shared" si="28"/>
        <v>15.833988799198394</v>
      </c>
      <c r="F58" s="7">
        <f t="shared" si="28"/>
        <v>9.4663637961347256</v>
      </c>
      <c r="G58" s="7">
        <f t="shared" si="28"/>
        <v>23.945779155132541</v>
      </c>
      <c r="H58" s="7">
        <f t="shared" si="28"/>
        <v>33.435835724842718</v>
      </c>
    </row>
    <row r="59" spans="1:8" x14ac:dyDescent="0.25">
      <c r="A59" t="s">
        <v>41</v>
      </c>
      <c r="B59" s="7">
        <f>((B35/B34)-1)*100</f>
        <v>4.6031910301059131</v>
      </c>
      <c r="C59" s="7">
        <f t="shared" ref="C59:H59" si="29">((C35/C34)-1)*100</f>
        <v>-0.20471675511714027</v>
      </c>
      <c r="D59" s="7">
        <f t="shared" si="29"/>
        <v>25.480154048367144</v>
      </c>
      <c r="E59" s="7">
        <f t="shared" si="29"/>
        <v>31.795495434327314</v>
      </c>
      <c r="F59" s="7">
        <f t="shared" si="29"/>
        <v>7.6183362093549034</v>
      </c>
      <c r="G59" s="7">
        <f t="shared" si="29"/>
        <v>25.607266932918659</v>
      </c>
      <c r="H59" s="7">
        <f t="shared" si="29"/>
        <v>8.4854530473028369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42</v>
      </c>
    </row>
    <row r="62" spans="1:8" x14ac:dyDescent="0.25">
      <c r="A62" t="s">
        <v>128</v>
      </c>
      <c r="B62" s="4">
        <f>B17/(B11*3)</f>
        <v>5901.1654134415021</v>
      </c>
      <c r="C62" s="4">
        <f t="shared" ref="C62:H62" si="30">C17/(C11*3)</f>
        <v>5950.8780849689556</v>
      </c>
      <c r="D62" s="4">
        <f t="shared" si="30"/>
        <v>5726.8980976946514</v>
      </c>
      <c r="E62" s="4">
        <f t="shared" si="30"/>
        <v>5826.6309234354212</v>
      </c>
      <c r="F62" s="4">
        <f t="shared" si="30"/>
        <v>5436.456509932168</v>
      </c>
      <c r="G62" s="4">
        <f t="shared" si="30"/>
        <v>6313.0941447163432</v>
      </c>
      <c r="H62" s="4">
        <f t="shared" si="30"/>
        <v>5358.4746789158553</v>
      </c>
    </row>
    <row r="63" spans="1:8" x14ac:dyDescent="0.25">
      <c r="A63" t="s">
        <v>129</v>
      </c>
      <c r="B63" s="4">
        <f>B18/(B12*3)</f>
        <v>6547.8429850899392</v>
      </c>
      <c r="C63" s="4">
        <f t="shared" ref="C63:H63" si="31">C18/(C12*3)</f>
        <v>6628.3905815126191</v>
      </c>
      <c r="D63" s="4">
        <f t="shared" si="31"/>
        <v>6302.7444164730186</v>
      </c>
      <c r="E63" s="4">
        <f t="shared" si="31"/>
        <v>6403.6394464391287</v>
      </c>
      <c r="F63" s="4">
        <f t="shared" si="31"/>
        <v>6006.26667302233</v>
      </c>
      <c r="G63" s="4">
        <f t="shared" si="31"/>
        <v>6948.0594955619999</v>
      </c>
      <c r="H63" s="4">
        <f t="shared" si="31"/>
        <v>5425.4670351504647</v>
      </c>
    </row>
    <row r="64" spans="1:8" x14ac:dyDescent="0.25">
      <c r="A64" t="s">
        <v>43</v>
      </c>
      <c r="B64" s="4">
        <f>(B62/B63)*B46</f>
        <v>95.362909667636657</v>
      </c>
      <c r="C64" s="4">
        <f t="shared" ref="C64:H64" si="32">(C62/C63)*C46</f>
        <v>94.864177732453413</v>
      </c>
      <c r="D64" s="4">
        <f t="shared" ref="D64" si="33">(D62/D63)*D46</f>
        <v>96.0728559801411</v>
      </c>
      <c r="E64" s="4">
        <f t="shared" si="32"/>
        <v>96.356459887654054</v>
      </c>
      <c r="F64" s="4">
        <f t="shared" si="32"/>
        <v>95.256536263620163</v>
      </c>
      <c r="G64" s="4">
        <f t="shared" si="32"/>
        <v>95.430628139761652</v>
      </c>
      <c r="H64" s="4">
        <f t="shared" si="32"/>
        <v>115.25934661332047</v>
      </c>
    </row>
    <row r="65" spans="1:8" x14ac:dyDescent="0.25">
      <c r="A65" t="s">
        <v>130</v>
      </c>
      <c r="B65" s="4">
        <f>B17/B11</f>
        <v>17703.496240324504</v>
      </c>
      <c r="C65" s="4">
        <f t="shared" ref="C65:H65" si="34">C17/C11</f>
        <v>17852.634254906865</v>
      </c>
      <c r="D65" s="4">
        <f t="shared" si="34"/>
        <v>17180.694293083954</v>
      </c>
      <c r="E65" s="4">
        <f t="shared" si="34"/>
        <v>17479.892770306262</v>
      </c>
      <c r="F65" s="4">
        <f t="shared" si="34"/>
        <v>16309.369529796504</v>
      </c>
      <c r="G65" s="4">
        <f t="shared" si="34"/>
        <v>18939.28243414903</v>
      </c>
      <c r="H65" s="4">
        <f t="shared" si="34"/>
        <v>16075.424036747567</v>
      </c>
    </row>
    <row r="66" spans="1:8" x14ac:dyDescent="0.25">
      <c r="A66" t="s">
        <v>131</v>
      </c>
      <c r="B66" s="4">
        <f>B18/B12</f>
        <v>19643.52895526982</v>
      </c>
      <c r="C66" s="4">
        <f t="shared" ref="C66:H66" si="35">C18/C12</f>
        <v>19885.171744537856</v>
      </c>
      <c r="D66" s="4">
        <f t="shared" si="35"/>
        <v>18908.233249419056</v>
      </c>
      <c r="E66" s="4">
        <f t="shared" si="35"/>
        <v>19210.918339317384</v>
      </c>
      <c r="F66" s="4">
        <f t="shared" si="35"/>
        <v>18018.800019066988</v>
      </c>
      <c r="G66" s="4">
        <f t="shared" si="35"/>
        <v>20844.178486686</v>
      </c>
      <c r="H66" s="4">
        <f t="shared" si="35"/>
        <v>16276.401105451392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44</v>
      </c>
      <c r="B68" s="7"/>
      <c r="C68" s="7"/>
      <c r="D68" s="7"/>
      <c r="E68" s="7"/>
      <c r="F68" s="7"/>
    </row>
    <row r="69" spans="1:8" x14ac:dyDescent="0.25">
      <c r="A69" t="s">
        <v>45</v>
      </c>
      <c r="B69" s="8">
        <f>(B24/B23)*100</f>
        <v>102.75491963550367</v>
      </c>
      <c r="C69" s="7"/>
      <c r="D69" s="7"/>
      <c r="E69" s="7"/>
      <c r="F69" s="7"/>
      <c r="G69" s="7"/>
      <c r="H69" s="7"/>
    </row>
    <row r="70" spans="1:8" x14ac:dyDescent="0.25">
      <c r="A70" t="s">
        <v>46</v>
      </c>
      <c r="B70" s="8">
        <f>(B18/B24)*100</f>
        <v>99.355002038687388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58</v>
      </c>
    </row>
    <row r="74" spans="1:8" x14ac:dyDescent="0.25">
      <c r="A74" t="s">
        <v>118</v>
      </c>
    </row>
    <row r="75" spans="1:8" x14ac:dyDescent="0.25">
      <c r="A75" t="s">
        <v>119</v>
      </c>
      <c r="B75" s="10"/>
      <c r="C75" s="10"/>
      <c r="D75" s="10"/>
      <c r="E75" s="10"/>
    </row>
    <row r="76" spans="1:8" x14ac:dyDescent="0.25">
      <c r="A76" t="s">
        <v>59</v>
      </c>
    </row>
    <row r="77" spans="1:8" x14ac:dyDescent="0.25">
      <c r="A77" t="s">
        <v>120</v>
      </c>
    </row>
    <row r="79" spans="1:8" x14ac:dyDescent="0.25">
      <c r="A79" t="s">
        <v>121</v>
      </c>
    </row>
    <row r="80" spans="1:8" x14ac:dyDescent="0.25">
      <c r="A80" s="18" t="s">
        <v>122</v>
      </c>
    </row>
    <row r="81" spans="1:1" x14ac:dyDescent="0.25">
      <c r="A81" s="18" t="s">
        <v>123</v>
      </c>
    </row>
    <row r="82" spans="1:1" x14ac:dyDescent="0.25">
      <c r="A82" s="18" t="s">
        <v>124</v>
      </c>
    </row>
    <row r="83" spans="1:1" x14ac:dyDescent="0.25">
      <c r="A83" s="18" t="s">
        <v>125</v>
      </c>
    </row>
    <row r="84" spans="1:1" x14ac:dyDescent="0.25">
      <c r="A84" s="19" t="s">
        <v>126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topLeftCell="A115" workbookViewId="0">
      <selection activeCell="C54" sqref="C54:H54"/>
    </sheetView>
  </sheetViews>
  <sheetFormatPr baseColWidth="10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43" t="s">
        <v>60</v>
      </c>
      <c r="B2" s="43"/>
      <c r="C2" s="43"/>
      <c r="D2" s="43"/>
      <c r="E2" s="43"/>
      <c r="F2" s="43"/>
      <c r="G2" s="43"/>
      <c r="H2" s="43"/>
    </row>
    <row r="4" spans="1:8" x14ac:dyDescent="0.25">
      <c r="A4" s="38" t="s">
        <v>1</v>
      </c>
      <c r="B4" s="40" t="s">
        <v>2</v>
      </c>
      <c r="C4" s="42" t="s">
        <v>3</v>
      </c>
      <c r="D4" s="42"/>
      <c r="E4" s="42"/>
      <c r="F4" s="42"/>
      <c r="G4" s="42"/>
      <c r="H4" s="42"/>
    </row>
    <row r="5" spans="1:8" ht="15.75" thickBot="1" x14ac:dyDescent="0.3">
      <c r="A5" s="39"/>
      <c r="B5" s="41"/>
      <c r="C5" s="1" t="s">
        <v>4</v>
      </c>
      <c r="D5" s="1" t="s">
        <v>94</v>
      </c>
      <c r="E5" s="1" t="s">
        <v>95</v>
      </c>
      <c r="F5" s="1" t="s">
        <v>96</v>
      </c>
      <c r="G5" s="1" t="s">
        <v>5</v>
      </c>
      <c r="H5" s="1" t="s">
        <v>6</v>
      </c>
    </row>
    <row r="6" spans="1:8" ht="15.75" thickTop="1" x14ac:dyDescent="0.25"/>
    <row r="7" spans="1:8" x14ac:dyDescent="0.25">
      <c r="A7" s="2" t="s">
        <v>7</v>
      </c>
    </row>
    <row r="9" spans="1:8" x14ac:dyDescent="0.25">
      <c r="A9" t="s">
        <v>8</v>
      </c>
    </row>
    <row r="10" spans="1:8" x14ac:dyDescent="0.25">
      <c r="A10" s="3" t="s">
        <v>61</v>
      </c>
      <c r="B10" s="4">
        <f>619975</f>
        <v>619975</v>
      </c>
      <c r="C10" s="13">
        <f>$B$10*0.7621</f>
        <v>472482.94750000001</v>
      </c>
      <c r="D10" s="13">
        <f>E10+F10</f>
        <v>136146.50999999998</v>
      </c>
      <c r="E10" s="13">
        <f>$B$10*0.1697</f>
        <v>105209.75749999999</v>
      </c>
      <c r="F10" s="13">
        <f>$B$10*0.0499</f>
        <v>30936.752499999999</v>
      </c>
      <c r="G10" s="13">
        <f>$B$10*0.0062</f>
        <v>3843.8449999999998</v>
      </c>
      <c r="H10" s="13">
        <f>$B$10*0.0121</f>
        <v>7501.6975000000002</v>
      </c>
    </row>
    <row r="11" spans="1:8" x14ac:dyDescent="0.25">
      <c r="A11" s="3" t="s">
        <v>62</v>
      </c>
      <c r="B11" s="4">
        <f>C11+D11+G11+H11</f>
        <v>621838</v>
      </c>
      <c r="C11" s="4">
        <f>486980</f>
        <v>486980</v>
      </c>
      <c r="D11" s="13">
        <f t="shared" ref="D11" si="0">E11+F11</f>
        <v>123109</v>
      </c>
      <c r="E11" s="4">
        <f>91641</f>
        <v>91641</v>
      </c>
      <c r="F11" s="4">
        <f>31468</f>
        <v>31468</v>
      </c>
      <c r="G11" s="4">
        <f>3793</f>
        <v>3793</v>
      </c>
      <c r="H11" s="4">
        <f>7956</f>
        <v>7956</v>
      </c>
    </row>
    <row r="12" spans="1:8" x14ac:dyDescent="0.25">
      <c r="A12" s="3" t="s">
        <v>63</v>
      </c>
      <c r="B12" s="4">
        <f t="shared" ref="B12" si="1">C12+D12+G12+H12</f>
        <v>609624</v>
      </c>
      <c r="C12" s="4">
        <v>471791</v>
      </c>
      <c r="D12" s="13">
        <f t="shared" ref="D12:D13" si="2">E12+F12</f>
        <v>124574</v>
      </c>
      <c r="E12" s="4">
        <v>93130</v>
      </c>
      <c r="F12" s="4">
        <v>31444</v>
      </c>
      <c r="G12" s="4">
        <v>3862</v>
      </c>
      <c r="H12" s="4">
        <v>9397</v>
      </c>
    </row>
    <row r="13" spans="1:8" x14ac:dyDescent="0.25">
      <c r="A13" s="3" t="s">
        <v>12</v>
      </c>
      <c r="B13" s="4">
        <f>C13+D13+G13+H13</f>
        <v>621838</v>
      </c>
      <c r="C13" s="4">
        <f>486980</f>
        <v>486980</v>
      </c>
      <c r="D13" s="13">
        <f t="shared" si="2"/>
        <v>123109</v>
      </c>
      <c r="E13" s="4">
        <f>91641</f>
        <v>91641</v>
      </c>
      <c r="F13" s="4">
        <f>31468</f>
        <v>31468</v>
      </c>
      <c r="G13" s="4">
        <f>3793</f>
        <v>3793</v>
      </c>
      <c r="H13" s="4">
        <f>7956</f>
        <v>7956</v>
      </c>
    </row>
    <row r="15" spans="1:8" x14ac:dyDescent="0.25">
      <c r="A15" s="5" t="s">
        <v>13</v>
      </c>
    </row>
    <row r="16" spans="1:8" x14ac:dyDescent="0.25">
      <c r="A16" s="3" t="s">
        <v>61</v>
      </c>
      <c r="B16" s="4">
        <f>C16+D16+G16+H16</f>
        <v>11084361973.363634</v>
      </c>
      <c r="C16" s="13">
        <v>8963289310.363636</v>
      </c>
      <c r="D16" s="13">
        <f>E16+F16</f>
        <v>1953189430.090909</v>
      </c>
      <c r="E16" s="13">
        <v>1460042584.909091</v>
      </c>
      <c r="F16" s="13">
        <v>493146845.18181813</v>
      </c>
      <c r="G16" s="13">
        <v>60729237.545454547</v>
      </c>
      <c r="H16" s="13">
        <v>107153995.36363636</v>
      </c>
    </row>
    <row r="17" spans="1:9" x14ac:dyDescent="0.25">
      <c r="A17" s="3" t="s">
        <v>62</v>
      </c>
      <c r="B17" s="4">
        <f>C17+D17+G17+H17</f>
        <v>11008706695.09091</v>
      </c>
      <c r="C17" s="6">
        <v>8693875829.454546</v>
      </c>
      <c r="D17" s="13">
        <f t="shared" ref="D17:D19" si="3">E17+F17</f>
        <v>2115098093.7272725</v>
      </c>
      <c r="E17" s="6">
        <v>1601874853.3636363</v>
      </c>
      <c r="F17" s="6">
        <v>513223240.36363637</v>
      </c>
      <c r="G17" s="6">
        <v>71836698.272727266</v>
      </c>
      <c r="H17" s="6">
        <v>127896073.63636364</v>
      </c>
    </row>
    <row r="18" spans="1:9" x14ac:dyDescent="0.25">
      <c r="A18" s="3" t="s">
        <v>63</v>
      </c>
      <c r="B18" s="4">
        <f t="shared" ref="B18" si="4">C18+D18+G18+H18</f>
        <v>11090585986</v>
      </c>
      <c r="C18" s="6">
        <v>8709133385</v>
      </c>
      <c r="D18" s="13">
        <f t="shared" si="3"/>
        <v>2157901106</v>
      </c>
      <c r="E18" s="6">
        <v>1638451787</v>
      </c>
      <c r="F18" s="6">
        <v>519449319</v>
      </c>
      <c r="G18" s="6">
        <v>73888338</v>
      </c>
      <c r="H18" s="6">
        <v>149663157</v>
      </c>
    </row>
    <row r="19" spans="1:9" x14ac:dyDescent="0.25">
      <c r="A19" s="3" t="s">
        <v>12</v>
      </c>
      <c r="B19" s="4">
        <f>C19+D19+G19+H19</f>
        <v>40365257882</v>
      </c>
      <c r="C19" s="6">
        <v>31877544708</v>
      </c>
      <c r="D19" s="13">
        <f t="shared" si="3"/>
        <v>7755359677</v>
      </c>
      <c r="E19" s="6">
        <v>5873541129</v>
      </c>
      <c r="F19" s="6">
        <v>1881818548</v>
      </c>
      <c r="G19" s="6">
        <v>263401227</v>
      </c>
      <c r="H19" s="6">
        <v>468952270</v>
      </c>
      <c r="I19" s="6"/>
    </row>
    <row r="20" spans="1:9" x14ac:dyDescent="0.25">
      <c r="A20" s="3" t="s">
        <v>64</v>
      </c>
      <c r="B20" s="14">
        <f>B18</f>
        <v>11090585986</v>
      </c>
      <c r="C20" s="14">
        <f t="shared" ref="C20:H20" si="5">C18</f>
        <v>8709133385</v>
      </c>
      <c r="D20" s="14">
        <f t="shared" si="5"/>
        <v>2157901106</v>
      </c>
      <c r="E20" s="14">
        <f t="shared" si="5"/>
        <v>1638451787</v>
      </c>
      <c r="F20" s="14">
        <f t="shared" si="5"/>
        <v>519449319</v>
      </c>
      <c r="G20" s="14">
        <f t="shared" si="5"/>
        <v>73888338</v>
      </c>
      <c r="H20" s="14">
        <f t="shared" si="5"/>
        <v>149663157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15</v>
      </c>
      <c r="B22" s="4"/>
      <c r="C22" s="4"/>
      <c r="D22" s="4"/>
      <c r="E22" s="4"/>
      <c r="F22" s="4"/>
    </row>
    <row r="23" spans="1:9" x14ac:dyDescent="0.25">
      <c r="A23" s="3" t="s">
        <v>62</v>
      </c>
      <c r="B23" s="4">
        <v>10951504822.677412</v>
      </c>
      <c r="I23" s="11"/>
    </row>
    <row r="24" spans="1:9" x14ac:dyDescent="0.25">
      <c r="A24" s="3" t="s">
        <v>63</v>
      </c>
      <c r="B24" s="4">
        <v>11514200533.26</v>
      </c>
    </row>
    <row r="26" spans="1:9" x14ac:dyDescent="0.25">
      <c r="A26" t="s">
        <v>16</v>
      </c>
    </row>
    <row r="27" spans="1:9" x14ac:dyDescent="0.25">
      <c r="A27" s="3" t="s">
        <v>65</v>
      </c>
      <c r="B27" s="15">
        <v>1.4042433660666667</v>
      </c>
      <c r="C27" s="15">
        <v>1.4042433660666667</v>
      </c>
      <c r="D27" s="15">
        <v>1.4042433660666667</v>
      </c>
      <c r="E27" s="15">
        <v>1.4042433660666667</v>
      </c>
      <c r="F27" s="15">
        <v>1.4042433660666667</v>
      </c>
      <c r="G27" s="15">
        <v>1.4042433660666667</v>
      </c>
      <c r="H27" s="15">
        <v>1.4042433660666667</v>
      </c>
    </row>
    <row r="28" spans="1:9" x14ac:dyDescent="0.25">
      <c r="A28" s="3" t="s">
        <v>66</v>
      </c>
      <c r="B28" s="15">
        <v>1.4773597119666666</v>
      </c>
      <c r="C28" s="15">
        <v>1.4773597119666666</v>
      </c>
      <c r="D28" s="15">
        <v>1.4773597119666666</v>
      </c>
      <c r="E28" s="15">
        <v>1.4773597119666666</v>
      </c>
      <c r="F28" s="15">
        <v>1.4773597119666666</v>
      </c>
      <c r="G28" s="15">
        <v>1.4773597119666666</v>
      </c>
      <c r="H28" s="15">
        <v>1.4773597119666666</v>
      </c>
    </row>
    <row r="29" spans="1:9" x14ac:dyDescent="0.25">
      <c r="A29" s="3" t="s">
        <v>19</v>
      </c>
      <c r="B29" s="4">
        <f>+C29+D29+G29+H29</f>
        <v>383178</v>
      </c>
      <c r="C29" s="4">
        <v>234572</v>
      </c>
      <c r="D29" s="4">
        <v>140620</v>
      </c>
      <c r="E29" s="17">
        <v>127792</v>
      </c>
      <c r="F29" s="17">
        <v>12828</v>
      </c>
      <c r="G29" s="4">
        <v>1392</v>
      </c>
      <c r="H29" s="4">
        <v>6594</v>
      </c>
    </row>
    <row r="31" spans="1:9" x14ac:dyDescent="0.25">
      <c r="A31" s="3" t="s">
        <v>20</v>
      </c>
    </row>
    <row r="32" spans="1:9" x14ac:dyDescent="0.25">
      <c r="A32" s="3" t="s">
        <v>67</v>
      </c>
      <c r="B32" s="6">
        <f>B16/B27</f>
        <v>7893476473.6765738</v>
      </c>
      <c r="C32" s="6">
        <f t="shared" ref="C32:H32" si="6">C16/C27</f>
        <v>6383002780.6861668</v>
      </c>
      <c r="D32" s="6">
        <f t="shared" ref="D32" si="7">D16/D27</f>
        <v>1390919464.0255692</v>
      </c>
      <c r="E32" s="6">
        <f t="shared" si="6"/>
        <v>1039736145.5932811</v>
      </c>
      <c r="F32" s="6">
        <f t="shared" si="6"/>
        <v>351183318.43228799</v>
      </c>
      <c r="G32" s="6">
        <f t="shared" si="6"/>
        <v>43246946.371952035</v>
      </c>
      <c r="H32" s="6">
        <f t="shared" si="6"/>
        <v>76307282.592887253</v>
      </c>
    </row>
    <row r="33" spans="1:8" x14ac:dyDescent="0.25">
      <c r="A33" s="3" t="s">
        <v>68</v>
      </c>
      <c r="B33" s="6">
        <f>B18/B28</f>
        <v>7507031561.8910246</v>
      </c>
      <c r="C33" s="6">
        <f t="shared" ref="C33:H33" si="8">C18/C28</f>
        <v>5895066255.3308496</v>
      </c>
      <c r="D33" s="6">
        <f t="shared" ref="D33" si="9">D18/D28</f>
        <v>1460647050.627497</v>
      </c>
      <c r="E33" s="6">
        <f t="shared" si="8"/>
        <v>1109040522.5812521</v>
      </c>
      <c r="F33" s="6">
        <f t="shared" si="8"/>
        <v>351606528.04624486</v>
      </c>
      <c r="G33" s="6">
        <f t="shared" si="8"/>
        <v>50013776.199189551</v>
      </c>
      <c r="H33" s="6">
        <f t="shared" si="8"/>
        <v>101304479.73348878</v>
      </c>
    </row>
    <row r="34" spans="1:8" x14ac:dyDescent="0.25">
      <c r="A34" s="3" t="s">
        <v>69</v>
      </c>
      <c r="B34" s="14">
        <f>B32/B10</f>
        <v>12731.927051375578</v>
      </c>
      <c r="C34" s="14">
        <f>C32/C10</f>
        <v>13509.48815075737</v>
      </c>
      <c r="D34" s="14">
        <f>D32/D10</f>
        <v>10216.343144055396</v>
      </c>
      <c r="E34" s="14">
        <f t="shared" ref="E34:H34" si="10">E32/E10</f>
        <v>9882.5068159032799</v>
      </c>
      <c r="F34" s="14">
        <f t="shared" si="10"/>
        <v>11351.654264043649</v>
      </c>
      <c r="G34" s="14">
        <f t="shared" si="10"/>
        <v>11250.960008000333</v>
      </c>
      <c r="H34" s="14">
        <f t="shared" si="10"/>
        <v>10172.002082580277</v>
      </c>
    </row>
    <row r="35" spans="1:8" x14ac:dyDescent="0.25">
      <c r="A35" s="3" t="s">
        <v>70</v>
      </c>
      <c r="B35" s="6">
        <f>B33/B12</f>
        <v>12314.199509683058</v>
      </c>
      <c r="C35" s="6">
        <f t="shared" ref="C35:H35" si="11">C33/C12</f>
        <v>12495.079930161553</v>
      </c>
      <c r="D35" s="6">
        <f t="shared" ref="D35" si="12">D33/D12</f>
        <v>11725.135667374387</v>
      </c>
      <c r="E35" s="6">
        <f t="shared" si="11"/>
        <v>11908.520590371008</v>
      </c>
      <c r="F35" s="6">
        <f t="shared" si="11"/>
        <v>11181.991096751204</v>
      </c>
      <c r="G35" s="6">
        <f t="shared" si="11"/>
        <v>12950.226877055813</v>
      </c>
      <c r="H35" s="6">
        <f t="shared" si="11"/>
        <v>10780.512901297094</v>
      </c>
    </row>
    <row r="37" spans="1:8" x14ac:dyDescent="0.25">
      <c r="A37" s="2" t="s">
        <v>25</v>
      </c>
    </row>
    <row r="39" spans="1:8" x14ac:dyDescent="0.25">
      <c r="A39" t="s">
        <v>26</v>
      </c>
    </row>
    <row r="40" spans="1:8" x14ac:dyDescent="0.25">
      <c r="A40" t="s">
        <v>27</v>
      </c>
      <c r="B40" s="7">
        <f>(B11)/B29*100</f>
        <v>162.28436914436634</v>
      </c>
      <c r="C40" s="7">
        <f t="shared" ref="C40:H40" si="13">(C11)/C29*100</f>
        <v>207.60363555752605</v>
      </c>
      <c r="D40" s="7">
        <f t="shared" si="13"/>
        <v>87.547290570331398</v>
      </c>
      <c r="E40" s="7">
        <f t="shared" si="13"/>
        <v>71.711061725303608</v>
      </c>
      <c r="F40" s="7">
        <f t="shared" si="13"/>
        <v>245.30714062987212</v>
      </c>
      <c r="G40" s="7">
        <f t="shared" si="13"/>
        <v>272.48563218390808</v>
      </c>
      <c r="H40" s="7">
        <f t="shared" si="13"/>
        <v>120.65514103730663</v>
      </c>
    </row>
    <row r="41" spans="1:8" x14ac:dyDescent="0.25">
      <c r="A41" t="s">
        <v>28</v>
      </c>
      <c r="B41" s="7">
        <f>(B12)/B29*100</f>
        <v>159.09681662308378</v>
      </c>
      <c r="C41" s="7">
        <f t="shared" ref="C41:H41" si="14">(C12)/C29*100</f>
        <v>201.12843817676449</v>
      </c>
      <c r="D41" s="7">
        <f t="shared" si="14"/>
        <v>88.589105390413877</v>
      </c>
      <c r="E41" s="7">
        <f t="shared" si="14"/>
        <v>72.876236384124198</v>
      </c>
      <c r="F41" s="7">
        <f t="shared" si="14"/>
        <v>245.12004989086375</v>
      </c>
      <c r="G41" s="7">
        <f t="shared" si="14"/>
        <v>277.44252873563215</v>
      </c>
      <c r="H41" s="7">
        <f t="shared" si="14"/>
        <v>142.50834091598423</v>
      </c>
    </row>
    <row r="43" spans="1:8" x14ac:dyDescent="0.25">
      <c r="A43" t="s">
        <v>29</v>
      </c>
    </row>
    <row r="44" spans="1:8" x14ac:dyDescent="0.25">
      <c r="A44" t="s">
        <v>30</v>
      </c>
      <c r="B44" s="7">
        <f>B12/B11*100</f>
        <v>98.035822834886261</v>
      </c>
      <c r="C44" s="7">
        <f t="shared" ref="C44:H44" si="15">C12/C11*100</f>
        <v>96.880980738428676</v>
      </c>
      <c r="D44" s="7">
        <f t="shared" ref="D44" si="16">D12/D11*100</f>
        <v>101.19000235563607</v>
      </c>
      <c r="E44" s="7">
        <f t="shared" si="15"/>
        <v>101.6248185855676</v>
      </c>
      <c r="F44" s="7">
        <f t="shared" si="15"/>
        <v>99.923732045252322</v>
      </c>
      <c r="G44" s="7">
        <f t="shared" si="15"/>
        <v>101.81914052201424</v>
      </c>
      <c r="H44" s="7">
        <f t="shared" si="15"/>
        <v>118.1121166415284</v>
      </c>
    </row>
    <row r="45" spans="1:8" x14ac:dyDescent="0.25">
      <c r="A45" t="s">
        <v>31</v>
      </c>
      <c r="B45" s="7">
        <f>B18/B17*100</f>
        <v>100.74376848413631</v>
      </c>
      <c r="C45" s="7">
        <f t="shared" ref="C45:H45" si="17">C18/C17*100</f>
        <v>100.17549773938295</v>
      </c>
      <c r="D45" s="7">
        <f t="shared" ref="D45" si="18">D18/D17*100</f>
        <v>102.02368922744851</v>
      </c>
      <c r="E45" s="7">
        <f t="shared" si="17"/>
        <v>102.28338272241176</v>
      </c>
      <c r="F45" s="7">
        <f t="shared" si="17"/>
        <v>101.21313263833342</v>
      </c>
      <c r="G45" s="7">
        <f t="shared" si="17"/>
        <v>102.85597720469238</v>
      </c>
      <c r="H45" s="7">
        <f t="shared" si="17"/>
        <v>117.01935231063068</v>
      </c>
    </row>
    <row r="46" spans="1:8" x14ac:dyDescent="0.25">
      <c r="A46" t="s">
        <v>32</v>
      </c>
      <c r="B46" s="7">
        <f>AVERAGE(B44:B45)</f>
        <v>99.389795659511293</v>
      </c>
      <c r="C46" s="7">
        <f t="shared" ref="C46:H46" si="19">AVERAGE(C44:C45)</f>
        <v>98.528239238905812</v>
      </c>
      <c r="D46" s="7">
        <f t="shared" ref="D46" si="20">AVERAGE(D44:D45)</f>
        <v>101.6068457915423</v>
      </c>
      <c r="E46" s="7">
        <f t="shared" si="19"/>
        <v>101.95410065398968</v>
      </c>
      <c r="F46" s="7">
        <f t="shared" si="19"/>
        <v>100.56843234179287</v>
      </c>
      <c r="G46" s="7">
        <f t="shared" si="19"/>
        <v>102.33755886335331</v>
      </c>
      <c r="H46" s="7">
        <f t="shared" si="19"/>
        <v>117.56573447607954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33</v>
      </c>
    </row>
    <row r="49" spans="1:8" x14ac:dyDescent="0.25">
      <c r="A49" t="s">
        <v>34</v>
      </c>
      <c r="B49" s="7">
        <f>B12/(B13)*100</f>
        <v>98.035822834886261</v>
      </c>
      <c r="C49" s="7">
        <f t="shared" ref="C49:H49" si="21">C12/(C13)*100</f>
        <v>96.880980738428676</v>
      </c>
      <c r="D49" s="7">
        <f t="shared" si="21"/>
        <v>101.19000235563607</v>
      </c>
      <c r="E49" s="7">
        <f t="shared" si="21"/>
        <v>101.6248185855676</v>
      </c>
      <c r="F49" s="7">
        <f t="shared" si="21"/>
        <v>99.923732045252322</v>
      </c>
      <c r="G49" s="7">
        <f t="shared" si="21"/>
        <v>101.81914052201424</v>
      </c>
      <c r="H49" s="7">
        <f t="shared" si="21"/>
        <v>118.1121166415284</v>
      </c>
    </row>
    <row r="50" spans="1:8" x14ac:dyDescent="0.25">
      <c r="A50" t="s">
        <v>35</v>
      </c>
      <c r="B50" s="7">
        <f>B18/B19*100</f>
        <v>27.47557322294627</v>
      </c>
      <c r="C50" s="7">
        <f t="shared" ref="C50:H50" si="22">C18/C19*100</f>
        <v>27.32059029255899</v>
      </c>
      <c r="D50" s="7">
        <f t="shared" ref="D50" si="23">D18/D19*100</f>
        <v>27.824642516576866</v>
      </c>
      <c r="E50" s="7">
        <f t="shared" si="22"/>
        <v>27.8954680152032</v>
      </c>
      <c r="F50" s="7">
        <f t="shared" si="22"/>
        <v>27.603581628636388</v>
      </c>
      <c r="G50" s="7">
        <f t="shared" si="22"/>
        <v>28.051630146734279</v>
      </c>
      <c r="H50" s="7">
        <f t="shared" si="22"/>
        <v>31.914368811990183</v>
      </c>
    </row>
    <row r="51" spans="1:8" x14ac:dyDescent="0.25">
      <c r="A51" t="s">
        <v>36</v>
      </c>
      <c r="B51" s="7">
        <f>(B49+B50)/2</f>
        <v>62.755698028916264</v>
      </c>
      <c r="C51" s="7">
        <f t="shared" ref="C51:H51" si="24">(C49+C50)/2</f>
        <v>62.100785515493833</v>
      </c>
      <c r="D51" s="7">
        <f t="shared" ref="D51" si="25">(D49+D50)/2</f>
        <v>64.507322436106463</v>
      </c>
      <c r="E51" s="7">
        <f t="shared" si="24"/>
        <v>64.760143300385394</v>
      </c>
      <c r="F51" s="7">
        <f t="shared" si="24"/>
        <v>63.763656836944357</v>
      </c>
      <c r="G51" s="7">
        <f t="shared" si="24"/>
        <v>64.93538533437426</v>
      </c>
      <c r="H51" s="7">
        <f t="shared" si="24"/>
        <v>75.013242726759287</v>
      </c>
    </row>
    <row r="53" spans="1:8" x14ac:dyDescent="0.25">
      <c r="A53" t="s">
        <v>93</v>
      </c>
    </row>
    <row r="54" spans="1:8" x14ac:dyDescent="0.25">
      <c r="A54" t="s">
        <v>37</v>
      </c>
      <c r="B54" s="20">
        <f>(B20/B18)*100</f>
        <v>100</v>
      </c>
      <c r="C54" s="7"/>
      <c r="D54" s="7"/>
      <c r="E54" s="7"/>
      <c r="F54" s="7"/>
      <c r="G54" s="7"/>
      <c r="H54" s="7"/>
    </row>
    <row r="56" spans="1:8" x14ac:dyDescent="0.25">
      <c r="A56" t="s">
        <v>38</v>
      </c>
    </row>
    <row r="57" spans="1:8" x14ac:dyDescent="0.25">
      <c r="A57" t="s">
        <v>39</v>
      </c>
      <c r="B57" s="7">
        <f>((B12/B10)-1)*100</f>
        <v>-1.6695834509455998</v>
      </c>
      <c r="C57" s="7">
        <f t="shared" ref="C57:H57" si="26">((C12/C10)-1)*100</f>
        <v>-0.14644920068782596</v>
      </c>
      <c r="D57" s="7">
        <f t="shared" si="26"/>
        <v>-8.5000416095865958</v>
      </c>
      <c r="E57" s="7">
        <f t="shared" si="26"/>
        <v>-11.481594280834639</v>
      </c>
      <c r="F57" s="7">
        <f t="shared" si="26"/>
        <v>1.6396274948380585</v>
      </c>
      <c r="G57" s="7">
        <f t="shared" si="26"/>
        <v>0.47231352981194075</v>
      </c>
      <c r="H57" s="7">
        <f t="shared" si="26"/>
        <v>25.26498169247693</v>
      </c>
    </row>
    <row r="58" spans="1:8" x14ac:dyDescent="0.25">
      <c r="A58" t="s">
        <v>40</v>
      </c>
      <c r="B58" s="7">
        <f>((B33/B32)-1)*100</f>
        <v>-4.8957504728655117</v>
      </c>
      <c r="C58" s="7">
        <f t="shared" ref="C58:H58" si="27">((C33/C32)-1)*100</f>
        <v>-7.6443100860260742</v>
      </c>
      <c r="D58" s="7">
        <f t="shared" si="27"/>
        <v>5.0130570752186854</v>
      </c>
      <c r="E58" s="7">
        <f t="shared" si="27"/>
        <v>6.6655734997483673</v>
      </c>
      <c r="F58" s="7">
        <f t="shared" si="27"/>
        <v>0.12050960046909864</v>
      </c>
      <c r="G58" s="7">
        <f t="shared" si="27"/>
        <v>15.646954050901885</v>
      </c>
      <c r="H58" s="7">
        <f t="shared" si="27"/>
        <v>32.758599561153254</v>
      </c>
    </row>
    <row r="59" spans="1:8" x14ac:dyDescent="0.25">
      <c r="A59" t="s">
        <v>41</v>
      </c>
      <c r="B59" s="7">
        <f>((B35/B34)-1)*100</f>
        <v>-3.2809451389951838</v>
      </c>
      <c r="C59" s="7">
        <f t="shared" ref="C59:H59" si="28">((C35/C34)-1)*100</f>
        <v>-7.5088575471969126</v>
      </c>
      <c r="D59" s="7">
        <f t="shared" si="28"/>
        <v>14.768420579108232</v>
      </c>
      <c r="E59" s="7">
        <f t="shared" si="28"/>
        <v>20.501010646482886</v>
      </c>
      <c r="F59" s="7">
        <f t="shared" si="28"/>
        <v>-1.4946118278976517</v>
      </c>
      <c r="G59" s="7">
        <f t="shared" si="28"/>
        <v>15.10330556545545</v>
      </c>
      <c r="H59" s="7">
        <f t="shared" si="28"/>
        <v>5.9822128797919039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42</v>
      </c>
    </row>
    <row r="62" spans="1:8" x14ac:dyDescent="0.25">
      <c r="A62" t="s">
        <v>128</v>
      </c>
      <c r="B62" s="4">
        <f>B17/(B11*3)</f>
        <v>5901.1654134415021</v>
      </c>
      <c r="C62" s="4">
        <f t="shared" ref="C62:H62" si="29">C17/(C11*3)</f>
        <v>5950.8780849689556</v>
      </c>
      <c r="D62" s="4">
        <f t="shared" si="29"/>
        <v>5726.8980976946514</v>
      </c>
      <c r="E62" s="4">
        <f t="shared" si="29"/>
        <v>5826.6309234354212</v>
      </c>
      <c r="F62" s="4">
        <f t="shared" si="29"/>
        <v>5436.456509932168</v>
      </c>
      <c r="G62" s="4">
        <f t="shared" si="29"/>
        <v>6313.0941447163432</v>
      </c>
      <c r="H62" s="4">
        <f t="shared" si="29"/>
        <v>5358.4746789158553</v>
      </c>
    </row>
    <row r="63" spans="1:8" x14ac:dyDescent="0.25">
      <c r="A63" t="s">
        <v>129</v>
      </c>
      <c r="B63" s="4">
        <f>B18/(B12*3)</f>
        <v>6064.1674135751437</v>
      </c>
      <c r="C63" s="4">
        <f t="shared" ref="C63:H63" si="30">C18/(C12*3)</f>
        <v>6153.2425622079836</v>
      </c>
      <c r="D63" s="4">
        <f t="shared" si="30"/>
        <v>5774.0810174407716</v>
      </c>
      <c r="E63" s="4">
        <f t="shared" si="30"/>
        <v>5864.3895164465439</v>
      </c>
      <c r="F63" s="4">
        <f t="shared" si="30"/>
        <v>5506.6077153033966</v>
      </c>
      <c r="G63" s="4">
        <f t="shared" si="30"/>
        <v>6377.3811496633871</v>
      </c>
      <c r="H63" s="4">
        <f t="shared" si="30"/>
        <v>5308.8984782377356</v>
      </c>
    </row>
    <row r="64" spans="1:8" x14ac:dyDescent="0.25">
      <c r="A64" t="s">
        <v>43</v>
      </c>
      <c r="B64" s="4">
        <f>(B62/B63)*B46</f>
        <v>96.718244170166258</v>
      </c>
      <c r="C64" s="4">
        <f t="shared" ref="C64:H64" si="31">(C62/C63)*C46</f>
        <v>95.287896374913728</v>
      </c>
      <c r="D64" s="4">
        <f t="shared" ref="D64" si="32">(D62/D63)*D46</f>
        <v>100.77656515707284</v>
      </c>
      <c r="E64" s="4">
        <f t="shared" si="31"/>
        <v>101.29765664023296</v>
      </c>
      <c r="F64" s="4">
        <f t="shared" si="31"/>
        <v>99.287244881958912</v>
      </c>
      <c r="G64" s="4">
        <f t="shared" si="31"/>
        <v>101.30594808166684</v>
      </c>
      <c r="H64" s="4">
        <f t="shared" si="31"/>
        <v>118.66360109928748</v>
      </c>
    </row>
    <row r="65" spans="1:8" x14ac:dyDescent="0.25">
      <c r="A65" t="s">
        <v>130</v>
      </c>
      <c r="B65" s="4">
        <f>B17/B11</f>
        <v>17703.496240324504</v>
      </c>
      <c r="C65" s="4">
        <f t="shared" ref="C65:H65" si="33">C17/C11</f>
        <v>17852.634254906865</v>
      </c>
      <c r="D65" s="4">
        <f t="shared" si="33"/>
        <v>17180.694293083954</v>
      </c>
      <c r="E65" s="4">
        <f t="shared" si="33"/>
        <v>17479.892770306262</v>
      </c>
      <c r="F65" s="4">
        <f t="shared" si="33"/>
        <v>16309.369529796504</v>
      </c>
      <c r="G65" s="4">
        <f t="shared" si="33"/>
        <v>18939.28243414903</v>
      </c>
      <c r="H65" s="4">
        <f t="shared" si="33"/>
        <v>16075.424036747567</v>
      </c>
    </row>
    <row r="66" spans="1:8" x14ac:dyDescent="0.25">
      <c r="A66" t="s">
        <v>131</v>
      </c>
      <c r="B66" s="4">
        <f>B18/B12</f>
        <v>18192.502240725429</v>
      </c>
      <c r="C66" s="4">
        <f t="shared" ref="C66:H66" si="34">C18/C12</f>
        <v>18459.727686623952</v>
      </c>
      <c r="D66" s="4">
        <f t="shared" si="34"/>
        <v>17322.243052322316</v>
      </c>
      <c r="E66" s="4">
        <f t="shared" si="34"/>
        <v>17593.168549339633</v>
      </c>
      <c r="F66" s="4">
        <f t="shared" si="34"/>
        <v>16519.823145910188</v>
      </c>
      <c r="G66" s="4">
        <f t="shared" si="34"/>
        <v>19132.143448990162</v>
      </c>
      <c r="H66" s="4">
        <f t="shared" si="34"/>
        <v>15926.695434713207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44</v>
      </c>
      <c r="B68" s="7"/>
      <c r="C68" s="7"/>
      <c r="D68" s="7"/>
      <c r="E68" s="7"/>
      <c r="F68" s="7"/>
    </row>
    <row r="69" spans="1:8" x14ac:dyDescent="0.25">
      <c r="A69" t="s">
        <v>45</v>
      </c>
      <c r="B69" s="8">
        <f>(B24/B23)*100</f>
        <v>105.13806750481822</v>
      </c>
      <c r="C69" s="7"/>
      <c r="D69" s="7"/>
      <c r="E69" s="7"/>
      <c r="F69" s="7"/>
      <c r="G69" s="7"/>
      <c r="H69" s="7"/>
    </row>
    <row r="70" spans="1:8" x14ac:dyDescent="0.25">
      <c r="A70" t="s">
        <v>46</v>
      </c>
      <c r="B70" s="8">
        <f>(B18/B24)*100</f>
        <v>96.320938253278257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58</v>
      </c>
    </row>
    <row r="74" spans="1:8" x14ac:dyDescent="0.25">
      <c r="A74" t="s">
        <v>118</v>
      </c>
    </row>
    <row r="75" spans="1:8" x14ac:dyDescent="0.25">
      <c r="A75" t="s">
        <v>119</v>
      </c>
      <c r="B75" s="10"/>
      <c r="C75" s="10"/>
      <c r="D75" s="10"/>
      <c r="E75" s="10"/>
    </row>
    <row r="76" spans="1:8" x14ac:dyDescent="0.25">
      <c r="A76" t="s">
        <v>59</v>
      </c>
    </row>
    <row r="77" spans="1:8" x14ac:dyDescent="0.25">
      <c r="A77" t="s">
        <v>120</v>
      </c>
    </row>
    <row r="79" spans="1:8" x14ac:dyDescent="0.25">
      <c r="A79" t="s">
        <v>121</v>
      </c>
    </row>
    <row r="80" spans="1:8" x14ac:dyDescent="0.25">
      <c r="A80" s="18" t="s">
        <v>122</v>
      </c>
    </row>
    <row r="81" spans="1:1" x14ac:dyDescent="0.25">
      <c r="A81" s="18" t="s">
        <v>123</v>
      </c>
    </row>
    <row r="82" spans="1:1" x14ac:dyDescent="0.25">
      <c r="A82" s="18" t="s">
        <v>124</v>
      </c>
    </row>
    <row r="83" spans="1:1" x14ac:dyDescent="0.25">
      <c r="A83" s="18" t="s">
        <v>125</v>
      </c>
    </row>
    <row r="84" spans="1:1" x14ac:dyDescent="0.25">
      <c r="A84" s="19" t="s">
        <v>126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topLeftCell="A55" workbookViewId="0">
      <selection activeCell="C54" sqref="C54:H54"/>
    </sheetView>
  </sheetViews>
  <sheetFormatPr baseColWidth="10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43" t="s">
        <v>71</v>
      </c>
      <c r="B2" s="43"/>
      <c r="C2" s="43"/>
      <c r="D2" s="43"/>
      <c r="E2" s="43"/>
      <c r="F2" s="43"/>
      <c r="G2" s="43"/>
      <c r="H2" s="43"/>
    </row>
    <row r="4" spans="1:8" x14ac:dyDescent="0.25">
      <c r="A4" s="38" t="s">
        <v>1</v>
      </c>
      <c r="B4" s="40" t="s">
        <v>2</v>
      </c>
      <c r="C4" s="42" t="s">
        <v>3</v>
      </c>
      <c r="D4" s="42"/>
      <c r="E4" s="42"/>
      <c r="F4" s="42"/>
      <c r="G4" s="42"/>
      <c r="H4" s="42"/>
    </row>
    <row r="5" spans="1:8" ht="15.75" thickBot="1" x14ac:dyDescent="0.3">
      <c r="A5" s="39"/>
      <c r="B5" s="41"/>
      <c r="C5" s="1" t="s">
        <v>4</v>
      </c>
      <c r="D5" s="1" t="s">
        <v>94</v>
      </c>
      <c r="E5" s="1" t="s">
        <v>95</v>
      </c>
      <c r="F5" s="1" t="s">
        <v>96</v>
      </c>
      <c r="G5" s="1" t="s">
        <v>5</v>
      </c>
      <c r="H5" s="1" t="s">
        <v>6</v>
      </c>
    </row>
    <row r="6" spans="1:8" ht="15.75" thickTop="1" x14ac:dyDescent="0.25"/>
    <row r="7" spans="1:8" x14ac:dyDescent="0.25">
      <c r="A7" s="2" t="s">
        <v>7</v>
      </c>
    </row>
    <row r="9" spans="1:8" x14ac:dyDescent="0.25">
      <c r="A9" t="s">
        <v>8</v>
      </c>
    </row>
    <row r="10" spans="1:8" x14ac:dyDescent="0.25">
      <c r="A10" s="3" t="s">
        <v>72</v>
      </c>
      <c r="B10" s="13">
        <f>619975</f>
        <v>619975</v>
      </c>
      <c r="C10" s="13">
        <f>$B$10*0.7621</f>
        <v>472482.94750000001</v>
      </c>
      <c r="D10" s="13">
        <f>E10+F10</f>
        <v>136146.50999999998</v>
      </c>
      <c r="E10" s="13">
        <f>$B$10*0.1697</f>
        <v>105209.75749999999</v>
      </c>
      <c r="F10" s="13">
        <f>$B$10*0.0499</f>
        <v>30936.752499999999</v>
      </c>
      <c r="G10" s="13">
        <f>$B$10*0.0062</f>
        <v>3843.8449999999998</v>
      </c>
      <c r="H10" s="13">
        <f>$B$10*0.0121</f>
        <v>7501.6975000000002</v>
      </c>
    </row>
    <row r="11" spans="1:8" x14ac:dyDescent="0.25">
      <c r="A11" s="3" t="s">
        <v>73</v>
      </c>
      <c r="B11" s="4">
        <f>C11+D11+G11+H11</f>
        <v>621838</v>
      </c>
      <c r="C11" s="4">
        <f>486980</f>
        <v>486980</v>
      </c>
      <c r="D11" s="13">
        <f t="shared" ref="D11" si="0">E11+F11</f>
        <v>123109</v>
      </c>
      <c r="E11" s="4">
        <f>91641</f>
        <v>91641</v>
      </c>
      <c r="F11" s="4">
        <f>31468</f>
        <v>31468</v>
      </c>
      <c r="G11" s="4">
        <f>3793</f>
        <v>3793</v>
      </c>
      <c r="H11" s="4">
        <f>7956</f>
        <v>7956</v>
      </c>
    </row>
    <row r="12" spans="1:8" x14ac:dyDescent="0.25">
      <c r="A12" s="3" t="s">
        <v>74</v>
      </c>
      <c r="B12" s="4">
        <f t="shared" ref="B12" si="1">C12+D12+G12+H12</f>
        <v>609786</v>
      </c>
      <c r="C12" s="4">
        <v>472234</v>
      </c>
      <c r="D12" s="13">
        <f t="shared" ref="D12:D13" si="2">E12+F12</f>
        <v>124293</v>
      </c>
      <c r="E12" s="4">
        <v>92849</v>
      </c>
      <c r="F12" s="4">
        <v>31444</v>
      </c>
      <c r="G12" s="4">
        <v>3862</v>
      </c>
      <c r="H12" s="4">
        <v>9397</v>
      </c>
    </row>
    <row r="13" spans="1:8" x14ac:dyDescent="0.25">
      <c r="A13" s="3" t="s">
        <v>12</v>
      </c>
      <c r="B13" s="4">
        <f>C13+D13+G13+H13</f>
        <v>621838</v>
      </c>
      <c r="C13" s="4">
        <f>486980</f>
        <v>486980</v>
      </c>
      <c r="D13" s="13">
        <f t="shared" si="2"/>
        <v>123109</v>
      </c>
      <c r="E13" s="4">
        <f>91641</f>
        <v>91641</v>
      </c>
      <c r="F13" s="4">
        <f>31468</f>
        <v>31468</v>
      </c>
      <c r="G13" s="4">
        <f>3793</f>
        <v>3793</v>
      </c>
      <c r="H13" s="4">
        <f>7956</f>
        <v>7956</v>
      </c>
    </row>
    <row r="15" spans="1:8" x14ac:dyDescent="0.25">
      <c r="A15" s="5" t="s">
        <v>13</v>
      </c>
    </row>
    <row r="16" spans="1:8" x14ac:dyDescent="0.25">
      <c r="A16" s="3" t="s">
        <v>72</v>
      </c>
      <c r="B16" s="4">
        <f>C16+D16+G16+H16</f>
        <v>11084361973.363634</v>
      </c>
      <c r="C16" s="13">
        <v>8963289310.363636</v>
      </c>
      <c r="D16" s="13">
        <f>E16+F16</f>
        <v>1953189430.090909</v>
      </c>
      <c r="E16" s="13">
        <v>1460042584.909091</v>
      </c>
      <c r="F16" s="13">
        <v>493146845.18181813</v>
      </c>
      <c r="G16" s="13">
        <v>60729237.545454547</v>
      </c>
      <c r="H16" s="13">
        <v>107153995.36363636</v>
      </c>
    </row>
    <row r="17" spans="1:9" x14ac:dyDescent="0.25">
      <c r="A17" s="3" t="s">
        <v>73</v>
      </c>
      <c r="B17" s="4">
        <f>C17+D17+G17+H17</f>
        <v>11008706695.09091</v>
      </c>
      <c r="C17" s="6">
        <v>8693875829.454546</v>
      </c>
      <c r="D17" s="13">
        <f t="shared" ref="D17:D19" si="3">E17+F17</f>
        <v>2115098093.7272725</v>
      </c>
      <c r="E17" s="6">
        <v>1601874853.3636363</v>
      </c>
      <c r="F17" s="6">
        <v>513223240.36363637</v>
      </c>
      <c r="G17" s="6">
        <v>71836698.272727266</v>
      </c>
      <c r="H17" s="6">
        <v>127896073.63636364</v>
      </c>
    </row>
    <row r="18" spans="1:9" x14ac:dyDescent="0.25">
      <c r="A18" s="3" t="s">
        <v>74</v>
      </c>
      <c r="B18" s="4">
        <f t="shared" ref="B18" si="4">C18+D18+G18+H18</f>
        <v>10501287392</v>
      </c>
      <c r="C18" s="6">
        <v>8238816477</v>
      </c>
      <c r="D18" s="13">
        <f t="shared" si="3"/>
        <v>2048913450</v>
      </c>
      <c r="E18" s="6">
        <v>1557948615</v>
      </c>
      <c r="F18" s="6">
        <v>490964835</v>
      </c>
      <c r="G18" s="6">
        <v>69167658</v>
      </c>
      <c r="H18" s="6">
        <v>144389807</v>
      </c>
    </row>
    <row r="19" spans="1:9" x14ac:dyDescent="0.25">
      <c r="A19" s="3" t="s">
        <v>12</v>
      </c>
      <c r="B19" s="4">
        <f>C19+D19+G19+H19</f>
        <v>40365257882</v>
      </c>
      <c r="C19" s="6">
        <v>31877544708</v>
      </c>
      <c r="D19" s="13">
        <f t="shared" si="3"/>
        <v>7755359677</v>
      </c>
      <c r="E19" s="6">
        <v>5873541129</v>
      </c>
      <c r="F19" s="6">
        <v>1881818548</v>
      </c>
      <c r="G19" s="6">
        <v>263401227</v>
      </c>
      <c r="H19" s="6">
        <v>468952270</v>
      </c>
      <c r="I19" s="6"/>
    </row>
    <row r="20" spans="1:9" x14ac:dyDescent="0.25">
      <c r="A20" s="3" t="s">
        <v>75</v>
      </c>
      <c r="B20" s="14">
        <f>B18</f>
        <v>10501287392</v>
      </c>
      <c r="C20" s="14">
        <f t="shared" ref="C20:H20" si="5">C18</f>
        <v>8238816477</v>
      </c>
      <c r="D20" s="14">
        <f t="shared" si="5"/>
        <v>2048913450</v>
      </c>
      <c r="E20" s="14">
        <f t="shared" si="5"/>
        <v>1557948615</v>
      </c>
      <c r="F20" s="14">
        <f t="shared" si="5"/>
        <v>490964835</v>
      </c>
      <c r="G20" s="14">
        <f t="shared" si="5"/>
        <v>69167658</v>
      </c>
      <c r="H20" s="14">
        <f t="shared" si="5"/>
        <v>144389807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15</v>
      </c>
      <c r="B22" s="4"/>
      <c r="C22" s="4"/>
      <c r="D22" s="4"/>
      <c r="E22" s="4"/>
      <c r="F22" s="4"/>
    </row>
    <row r="23" spans="1:9" x14ac:dyDescent="0.25">
      <c r="A23" s="3" t="s">
        <v>73</v>
      </c>
      <c r="B23" s="13">
        <v>9973016292.8333664</v>
      </c>
      <c r="I23" s="11"/>
    </row>
    <row r="24" spans="1:9" x14ac:dyDescent="0.25">
      <c r="A24" s="3" t="s">
        <v>74</v>
      </c>
      <c r="B24" s="13">
        <v>11947503181.74</v>
      </c>
    </row>
    <row r="26" spans="1:9" x14ac:dyDescent="0.25">
      <c r="A26" t="s">
        <v>16</v>
      </c>
    </row>
    <row r="27" spans="1:9" x14ac:dyDescent="0.25">
      <c r="A27" s="3" t="s">
        <v>76</v>
      </c>
      <c r="B27" s="15">
        <v>1.42</v>
      </c>
      <c r="C27" s="15">
        <v>1.42</v>
      </c>
      <c r="D27" s="15">
        <v>1.42</v>
      </c>
      <c r="E27" s="15">
        <v>1.42</v>
      </c>
      <c r="F27" s="15">
        <v>1.42</v>
      </c>
      <c r="G27" s="15">
        <v>1.42</v>
      </c>
      <c r="H27" s="15">
        <v>1.42</v>
      </c>
    </row>
    <row r="28" spans="1:9" x14ac:dyDescent="0.25">
      <c r="A28" s="3" t="s">
        <v>77</v>
      </c>
      <c r="B28" s="15">
        <v>1.49</v>
      </c>
      <c r="C28" s="15">
        <v>1.49</v>
      </c>
      <c r="D28" s="15">
        <v>1.49</v>
      </c>
      <c r="E28" s="15">
        <v>1.49</v>
      </c>
      <c r="F28" s="15">
        <v>1.49</v>
      </c>
      <c r="G28" s="15">
        <v>1.49</v>
      </c>
      <c r="H28" s="15">
        <v>1.49</v>
      </c>
    </row>
    <row r="29" spans="1:9" x14ac:dyDescent="0.25">
      <c r="A29" s="3" t="s">
        <v>19</v>
      </c>
      <c r="B29" s="4">
        <f>+C29+D29+G29+H29</f>
        <v>383178</v>
      </c>
      <c r="C29" s="4">
        <v>234572</v>
      </c>
      <c r="D29" s="4">
        <v>140620</v>
      </c>
      <c r="E29" s="17">
        <v>127792</v>
      </c>
      <c r="F29" s="17">
        <v>12828</v>
      </c>
      <c r="G29" s="4">
        <v>1392</v>
      </c>
      <c r="H29" s="4">
        <v>6594</v>
      </c>
    </row>
    <row r="31" spans="1:9" x14ac:dyDescent="0.25">
      <c r="A31" s="3" t="s">
        <v>20</v>
      </c>
    </row>
    <row r="32" spans="1:9" x14ac:dyDescent="0.25">
      <c r="A32" s="3" t="s">
        <v>78</v>
      </c>
      <c r="B32" s="6">
        <f>B16/B27</f>
        <v>7805888713.6363621</v>
      </c>
      <c r="C32" s="6">
        <f t="shared" ref="C32:H32" si="6">C16/C27</f>
        <v>6312175570.6786175</v>
      </c>
      <c r="D32" s="6">
        <f t="shared" ref="D32" si="7">D16/D27</f>
        <v>1375485514.1485276</v>
      </c>
      <c r="E32" s="6">
        <f t="shared" si="6"/>
        <v>1028199003.4571064</v>
      </c>
      <c r="F32" s="6">
        <f t="shared" si="6"/>
        <v>347286510.69142121</v>
      </c>
      <c r="G32" s="6">
        <f t="shared" si="6"/>
        <v>42767068.69398208</v>
      </c>
      <c r="H32" s="6">
        <f t="shared" si="6"/>
        <v>75460560.115236878</v>
      </c>
    </row>
    <row r="33" spans="1:8" x14ac:dyDescent="0.25">
      <c r="A33" s="3" t="s">
        <v>79</v>
      </c>
      <c r="B33" s="6">
        <f>B18/B28</f>
        <v>7047843887.2483225</v>
      </c>
      <c r="C33" s="6">
        <f t="shared" ref="C33:H33" si="8">C18/C28</f>
        <v>5529407031.5436239</v>
      </c>
      <c r="D33" s="6">
        <f t="shared" ref="D33" si="9">D18/D28</f>
        <v>1375109697.9865773</v>
      </c>
      <c r="E33" s="6">
        <f t="shared" si="8"/>
        <v>1045603097.3154362</v>
      </c>
      <c r="F33" s="6">
        <f t="shared" si="8"/>
        <v>329506600.67114097</v>
      </c>
      <c r="G33" s="6">
        <f t="shared" si="8"/>
        <v>46421246.979865775</v>
      </c>
      <c r="H33" s="6">
        <f t="shared" si="8"/>
        <v>96905910.738255039</v>
      </c>
    </row>
    <row r="34" spans="1:8" x14ac:dyDescent="0.25">
      <c r="A34" s="3" t="s">
        <v>80</v>
      </c>
      <c r="B34" s="14">
        <f>B32/B10</f>
        <v>12590.650774041473</v>
      </c>
      <c r="C34" s="14">
        <f t="shared" ref="C34:H34" si="10">C32/C10</f>
        <v>13359.583883561465</v>
      </c>
      <c r="D34" s="14">
        <f t="shared" ref="D34" si="11">D32/D10</f>
        <v>10102.980341901733</v>
      </c>
      <c r="E34" s="14">
        <f t="shared" si="10"/>
        <v>9772.8483354512664</v>
      </c>
      <c r="F34" s="14">
        <f t="shared" si="10"/>
        <v>11225.693798708227</v>
      </c>
      <c r="G34" s="14">
        <f t="shared" si="10"/>
        <v>11126.116868391437</v>
      </c>
      <c r="H34" s="14">
        <f t="shared" si="10"/>
        <v>10059.131298647657</v>
      </c>
    </row>
    <row r="35" spans="1:8" x14ac:dyDescent="0.25">
      <c r="A35" s="3" t="s">
        <v>81</v>
      </c>
      <c r="B35" s="6">
        <f>B33/B12</f>
        <v>11557.897175809747</v>
      </c>
      <c r="C35" s="6">
        <f t="shared" ref="C35:H35" si="12">C33/C12</f>
        <v>11709.040500141082</v>
      </c>
      <c r="D35" s="6">
        <f t="shared" ref="D35" si="13">D33/D12</f>
        <v>11063.452471068984</v>
      </c>
      <c r="E35" s="6">
        <f t="shared" si="12"/>
        <v>11261.328579903244</v>
      </c>
      <c r="F35" s="6">
        <f t="shared" si="12"/>
        <v>10479.156617196952</v>
      </c>
      <c r="G35" s="6">
        <f t="shared" si="12"/>
        <v>12020.001807318948</v>
      </c>
      <c r="H35" s="6">
        <f t="shared" si="12"/>
        <v>10312.430641508465</v>
      </c>
    </row>
    <row r="37" spans="1:8" x14ac:dyDescent="0.25">
      <c r="A37" s="2" t="s">
        <v>25</v>
      </c>
    </row>
    <row r="39" spans="1:8" x14ac:dyDescent="0.25">
      <c r="A39" t="s">
        <v>26</v>
      </c>
    </row>
    <row r="40" spans="1:8" x14ac:dyDescent="0.25">
      <c r="A40" t="s">
        <v>27</v>
      </c>
      <c r="B40" s="7">
        <f>(B11)/B29*100</f>
        <v>162.28436914436634</v>
      </c>
      <c r="C40" s="7">
        <f t="shared" ref="C40:H40" si="14">(C11)/C29*100</f>
        <v>207.60363555752605</v>
      </c>
      <c r="D40" s="7">
        <f t="shared" si="14"/>
        <v>87.547290570331398</v>
      </c>
      <c r="E40" s="7">
        <f t="shared" si="14"/>
        <v>71.711061725303608</v>
      </c>
      <c r="F40" s="7">
        <f t="shared" si="14"/>
        <v>245.30714062987212</v>
      </c>
      <c r="G40" s="7">
        <f t="shared" si="14"/>
        <v>272.48563218390808</v>
      </c>
      <c r="H40" s="7">
        <f t="shared" si="14"/>
        <v>120.65514103730663</v>
      </c>
    </row>
    <row r="41" spans="1:8" x14ac:dyDescent="0.25">
      <c r="A41" t="s">
        <v>28</v>
      </c>
      <c r="B41" s="7">
        <f>(B12)/B29*100</f>
        <v>159.13909462443041</v>
      </c>
      <c r="C41" s="7">
        <f t="shared" ref="C41:H41" si="15">(C12)/C29*100</f>
        <v>201.31729277151581</v>
      </c>
      <c r="D41" s="7">
        <f t="shared" si="15"/>
        <v>88.389276063148912</v>
      </c>
      <c r="E41" s="7">
        <f t="shared" si="15"/>
        <v>72.656347815199695</v>
      </c>
      <c r="F41" s="7">
        <f t="shared" si="15"/>
        <v>245.12004989086375</v>
      </c>
      <c r="G41" s="7">
        <f t="shared" si="15"/>
        <v>277.44252873563215</v>
      </c>
      <c r="H41" s="7">
        <f t="shared" si="15"/>
        <v>142.50834091598423</v>
      </c>
    </row>
    <row r="43" spans="1:8" x14ac:dyDescent="0.25">
      <c r="A43" t="s">
        <v>29</v>
      </c>
    </row>
    <row r="44" spans="1:8" x14ac:dyDescent="0.25">
      <c r="A44" t="s">
        <v>30</v>
      </c>
      <c r="B44" s="7">
        <f>B12/B11*100</f>
        <v>98.061874636159246</v>
      </c>
      <c r="C44" s="7">
        <f t="shared" ref="C44:H44" si="16">C12/C11*100</f>
        <v>96.971949566717313</v>
      </c>
      <c r="D44" s="7">
        <f t="shared" ref="D44" si="17">D12/D11*100</f>
        <v>100.96174934407721</v>
      </c>
      <c r="E44" s="7">
        <f t="shared" si="16"/>
        <v>101.31818727425497</v>
      </c>
      <c r="F44" s="7">
        <f t="shared" si="16"/>
        <v>99.923732045252322</v>
      </c>
      <c r="G44" s="7">
        <f t="shared" si="16"/>
        <v>101.81914052201424</v>
      </c>
      <c r="H44" s="7">
        <f t="shared" si="16"/>
        <v>118.1121166415284</v>
      </c>
    </row>
    <row r="45" spans="1:8" x14ac:dyDescent="0.25">
      <c r="A45" t="s">
        <v>31</v>
      </c>
      <c r="B45" s="7">
        <f>B18/B17*100</f>
        <v>95.390745551271863</v>
      </c>
      <c r="C45" s="7">
        <f t="shared" ref="C45:H45" si="18">C18/C17*100</f>
        <v>94.765748195841255</v>
      </c>
      <c r="D45" s="7">
        <f t="shared" ref="D45" si="19">D18/D17*100</f>
        <v>96.870847554373213</v>
      </c>
      <c r="E45" s="7">
        <f t="shared" si="18"/>
        <v>97.2578233392328</v>
      </c>
      <c r="F45" s="7">
        <f t="shared" si="18"/>
        <v>95.663016868085421</v>
      </c>
      <c r="G45" s="7">
        <f t="shared" si="18"/>
        <v>96.284572736633464</v>
      </c>
      <c r="H45" s="7">
        <f t="shared" si="18"/>
        <v>112.89619993380846</v>
      </c>
    </row>
    <row r="46" spans="1:8" x14ac:dyDescent="0.25">
      <c r="A46" t="s">
        <v>32</v>
      </c>
      <c r="B46" s="7">
        <f>AVERAGE(B44:B45)</f>
        <v>96.726310093715554</v>
      </c>
      <c r="C46" s="7">
        <f t="shared" ref="C46:H46" si="20">AVERAGE(C44:C45)</f>
        <v>95.868848881279291</v>
      </c>
      <c r="D46" s="7">
        <f t="shared" ref="D46" si="21">AVERAGE(D44:D45)</f>
        <v>98.916298449225209</v>
      </c>
      <c r="E46" s="7">
        <f t="shared" si="20"/>
        <v>99.288005306743884</v>
      </c>
      <c r="F46" s="7">
        <f t="shared" si="20"/>
        <v>97.793374456668872</v>
      </c>
      <c r="G46" s="7">
        <f t="shared" si="20"/>
        <v>99.051856629323851</v>
      </c>
      <c r="H46" s="7">
        <f t="shared" si="20"/>
        <v>115.50415828766843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33</v>
      </c>
    </row>
    <row r="49" spans="1:8" x14ac:dyDescent="0.25">
      <c r="A49" t="s">
        <v>34</v>
      </c>
      <c r="B49" s="7">
        <f>B12/(B13)*100</f>
        <v>98.061874636159246</v>
      </c>
      <c r="C49" s="7">
        <f t="shared" ref="C49:H49" si="22">C12/(C13)*100</f>
        <v>96.971949566717313</v>
      </c>
      <c r="D49" s="7">
        <f t="shared" si="22"/>
        <v>100.96174934407721</v>
      </c>
      <c r="E49" s="7">
        <f t="shared" si="22"/>
        <v>101.31818727425497</v>
      </c>
      <c r="F49" s="7">
        <f t="shared" si="22"/>
        <v>99.923732045252322</v>
      </c>
      <c r="G49" s="7">
        <f t="shared" si="22"/>
        <v>101.81914052201424</v>
      </c>
      <c r="H49" s="7">
        <f t="shared" si="22"/>
        <v>118.1121166415284</v>
      </c>
    </row>
    <row r="50" spans="1:8" x14ac:dyDescent="0.25">
      <c r="A50" t="s">
        <v>35</v>
      </c>
      <c r="B50" s="7">
        <f>B18/B19*100</f>
        <v>26.015657877619603</v>
      </c>
      <c r="C50" s="7">
        <f t="shared" ref="C50:H50" si="23">C18/C19*100</f>
        <v>25.845204053411251</v>
      </c>
      <c r="D50" s="7">
        <f t="shared" ref="D50" si="24">D18/D19*100</f>
        <v>26.419322060283601</v>
      </c>
      <c r="E50" s="7">
        <f t="shared" si="23"/>
        <v>26.524860910699854</v>
      </c>
      <c r="F50" s="7">
        <f t="shared" si="23"/>
        <v>26.089913691296022</v>
      </c>
      <c r="G50" s="7">
        <f t="shared" si="23"/>
        <v>26.259428928172763</v>
      </c>
      <c r="H50" s="7">
        <f t="shared" si="23"/>
        <v>30.789872709220496</v>
      </c>
    </row>
    <row r="51" spans="1:8" x14ac:dyDescent="0.25">
      <c r="A51" t="s">
        <v>36</v>
      </c>
      <c r="B51" s="7">
        <f>(B49+B50)/2</f>
        <v>62.038766256889424</v>
      </c>
      <c r="C51" s="7">
        <f t="shared" ref="C51:H51" si="25">(C49+C50)/2</f>
        <v>61.408576810064282</v>
      </c>
      <c r="D51" s="7">
        <f t="shared" ref="D51" si="26">(D49+D50)/2</f>
        <v>63.690535702180405</v>
      </c>
      <c r="E51" s="7">
        <f t="shared" si="25"/>
        <v>63.921524092477412</v>
      </c>
      <c r="F51" s="7">
        <f t="shared" si="25"/>
        <v>63.00682286827417</v>
      </c>
      <c r="G51" s="7">
        <f t="shared" si="25"/>
        <v>64.039284725093495</v>
      </c>
      <c r="H51" s="7">
        <f t="shared" si="25"/>
        <v>74.450994675374446</v>
      </c>
    </row>
    <row r="53" spans="1:8" x14ac:dyDescent="0.25">
      <c r="A53" t="s">
        <v>93</v>
      </c>
    </row>
    <row r="54" spans="1:8" x14ac:dyDescent="0.25">
      <c r="A54" t="s">
        <v>37</v>
      </c>
      <c r="B54" s="20">
        <f>(B20/B18)*100</f>
        <v>100</v>
      </c>
      <c r="C54" s="7"/>
      <c r="D54" s="7"/>
      <c r="E54" s="7"/>
      <c r="F54" s="7"/>
      <c r="G54" s="7"/>
      <c r="H54" s="7"/>
    </row>
    <row r="56" spans="1:8" x14ac:dyDescent="0.25">
      <c r="A56" t="s">
        <v>38</v>
      </c>
    </row>
    <row r="57" spans="1:8" x14ac:dyDescent="0.25">
      <c r="A57" t="s">
        <v>39</v>
      </c>
      <c r="B57" s="7">
        <f>((B12/B10)-1)*100</f>
        <v>-1.6434533650550476</v>
      </c>
      <c r="C57" s="7">
        <f t="shared" ref="C57:H57" si="27">((C12/C10)-1)*100</f>
        <v>-5.2689203137856744E-2</v>
      </c>
      <c r="D57" s="7">
        <f t="shared" si="27"/>
        <v>-8.7064369112362705</v>
      </c>
      <c r="E57" s="7">
        <f t="shared" si="27"/>
        <v>-11.748679774307046</v>
      </c>
      <c r="F57" s="7">
        <f t="shared" si="27"/>
        <v>1.6396274948380585</v>
      </c>
      <c r="G57" s="7">
        <f t="shared" si="27"/>
        <v>0.47231352981194075</v>
      </c>
      <c r="H57" s="7">
        <f t="shared" si="27"/>
        <v>25.26498169247693</v>
      </c>
    </row>
    <row r="58" spans="1:8" x14ac:dyDescent="0.25">
      <c r="A58" t="s">
        <v>40</v>
      </c>
      <c r="B58" s="7">
        <f>((B33/B32)-1)*100</f>
        <v>-9.7111918219354827</v>
      </c>
      <c r="C58" s="7">
        <f t="shared" ref="C58:H58" si="28">((C33/C32)-1)*100</f>
        <v>-12.400931031942742</v>
      </c>
      <c r="D58" s="7">
        <f t="shared" si="28"/>
        <v>-2.7322436920240722E-2</v>
      </c>
      <c r="E58" s="7">
        <f t="shared" si="28"/>
        <v>1.692677565316858</v>
      </c>
      <c r="F58" s="7">
        <f t="shared" si="28"/>
        <v>-5.1196661755971373</v>
      </c>
      <c r="G58" s="7">
        <f t="shared" si="28"/>
        <v>8.544373971550435</v>
      </c>
      <c r="H58" s="7">
        <f t="shared" si="28"/>
        <v>28.419283649987047</v>
      </c>
    </row>
    <row r="59" spans="1:8" x14ac:dyDescent="0.25">
      <c r="A59" t="s">
        <v>41</v>
      </c>
      <c r="B59" s="7">
        <f>((B35/B34)-1)*100</f>
        <v>-8.2025434329493496</v>
      </c>
      <c r="C59" s="7">
        <f t="shared" ref="C59:H59" si="29">((C35/C34)-1)*100</f>
        <v>-12.354751448892976</v>
      </c>
      <c r="D59" s="7">
        <f t="shared" si="29"/>
        <v>9.5068197369812637</v>
      </c>
      <c r="E59" s="7">
        <f t="shared" si="29"/>
        <v>15.230771964939605</v>
      </c>
      <c r="F59" s="7">
        <f t="shared" si="29"/>
        <v>-6.6502542729001028</v>
      </c>
      <c r="G59" s="7">
        <f t="shared" si="29"/>
        <v>8.0341142332144511</v>
      </c>
      <c r="H59" s="7">
        <f t="shared" si="29"/>
        <v>2.5181035552728215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42</v>
      </c>
    </row>
    <row r="62" spans="1:8" x14ac:dyDescent="0.25">
      <c r="A62" t="s">
        <v>128</v>
      </c>
      <c r="B62" s="4">
        <f>B17/(B11*3)</f>
        <v>5901.1654134415021</v>
      </c>
      <c r="C62" s="4">
        <f t="shared" ref="C62:H62" si="30">C17/(C11*3)</f>
        <v>5950.8780849689556</v>
      </c>
      <c r="D62" s="4">
        <f t="shared" si="30"/>
        <v>5726.8980976946514</v>
      </c>
      <c r="E62" s="4">
        <f t="shared" si="30"/>
        <v>5826.6309234354212</v>
      </c>
      <c r="F62" s="4">
        <f t="shared" si="30"/>
        <v>5436.456509932168</v>
      </c>
      <c r="G62" s="4">
        <f t="shared" si="30"/>
        <v>6313.0941447163432</v>
      </c>
      <c r="H62" s="4">
        <f t="shared" si="30"/>
        <v>5358.4746789158553</v>
      </c>
    </row>
    <row r="63" spans="1:8" x14ac:dyDescent="0.25">
      <c r="A63" t="s">
        <v>129</v>
      </c>
      <c r="B63" s="4">
        <f>B18/(B12*3)</f>
        <v>5740.4222639855079</v>
      </c>
      <c r="C63" s="4">
        <f t="shared" ref="C63:H63" si="31">C18/(C12*3)</f>
        <v>5815.4901150700716</v>
      </c>
      <c r="D63" s="4">
        <f t="shared" si="31"/>
        <v>5494.8480606309286</v>
      </c>
      <c r="E63" s="4">
        <f t="shared" si="31"/>
        <v>5593.1265280186108</v>
      </c>
      <c r="F63" s="4">
        <f t="shared" si="31"/>
        <v>5204.6477865411525</v>
      </c>
      <c r="G63" s="4">
        <f t="shared" si="31"/>
        <v>5969.9342309684098</v>
      </c>
      <c r="H63" s="4">
        <f t="shared" si="31"/>
        <v>5121.8405519492035</v>
      </c>
    </row>
    <row r="64" spans="1:8" x14ac:dyDescent="0.25">
      <c r="A64" t="s">
        <v>43</v>
      </c>
      <c r="B64" s="4">
        <f>(B62/B63)*B46</f>
        <v>99.434837620909363</v>
      </c>
      <c r="C64" s="4">
        <f t="shared" ref="C64:H64" si="32">(C62/C63)*C46</f>
        <v>98.100731073451655</v>
      </c>
      <c r="D64" s="4">
        <f t="shared" ref="D64" si="33">(D62/D63)*D46</f>
        <v>103.09358059935501</v>
      </c>
      <c r="E64" s="4">
        <f t="shared" si="32"/>
        <v>103.43312620382207</v>
      </c>
      <c r="F64" s="4">
        <f t="shared" si="32"/>
        <v>102.1489731866197</v>
      </c>
      <c r="G64" s="4">
        <f t="shared" si="32"/>
        <v>104.7454916447933</v>
      </c>
      <c r="H64" s="4">
        <f t="shared" si="32"/>
        <v>120.8405652648475</v>
      </c>
    </row>
    <row r="65" spans="1:8" x14ac:dyDescent="0.25">
      <c r="A65" t="s">
        <v>130</v>
      </c>
      <c r="B65" s="4">
        <f>B17/B11</f>
        <v>17703.496240324504</v>
      </c>
      <c r="C65" s="4">
        <f t="shared" ref="C65:H65" si="34">C17/C11</f>
        <v>17852.634254906865</v>
      </c>
      <c r="D65" s="4">
        <f t="shared" si="34"/>
        <v>17180.694293083954</v>
      </c>
      <c r="E65" s="4">
        <f t="shared" si="34"/>
        <v>17479.892770306262</v>
      </c>
      <c r="F65" s="4">
        <f t="shared" si="34"/>
        <v>16309.369529796504</v>
      </c>
      <c r="G65" s="4">
        <f t="shared" si="34"/>
        <v>18939.28243414903</v>
      </c>
      <c r="H65" s="4">
        <f t="shared" si="34"/>
        <v>16075.424036747567</v>
      </c>
    </row>
    <row r="66" spans="1:8" x14ac:dyDescent="0.25">
      <c r="A66" t="s">
        <v>131</v>
      </c>
      <c r="B66" s="4">
        <f>B18/B12</f>
        <v>17221.266791956521</v>
      </c>
      <c r="C66" s="4">
        <f t="shared" ref="C66:H66" si="35">C18/C12</f>
        <v>17446.470345210215</v>
      </c>
      <c r="D66" s="4">
        <f t="shared" si="35"/>
        <v>16484.544181892787</v>
      </c>
      <c r="E66" s="4">
        <f t="shared" si="35"/>
        <v>16779.379584055834</v>
      </c>
      <c r="F66" s="4">
        <f t="shared" si="35"/>
        <v>15613.943359623458</v>
      </c>
      <c r="G66" s="4">
        <f t="shared" si="35"/>
        <v>17909.802692905232</v>
      </c>
      <c r="H66" s="4">
        <f t="shared" si="35"/>
        <v>15365.521655847611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44</v>
      </c>
      <c r="B68" s="7"/>
      <c r="C68" s="7"/>
      <c r="D68" s="7"/>
      <c r="E68" s="7"/>
      <c r="F68" s="7"/>
    </row>
    <row r="69" spans="1:8" x14ac:dyDescent="0.25">
      <c r="A69" t="s">
        <v>45</v>
      </c>
      <c r="B69" s="8">
        <f>(B24/B23)*100</f>
        <v>119.79829202049439</v>
      </c>
      <c r="C69" s="7"/>
      <c r="D69" s="7"/>
      <c r="E69" s="7"/>
      <c r="F69" s="7"/>
      <c r="G69" s="7"/>
      <c r="H69" s="7"/>
    </row>
    <row r="70" spans="1:8" x14ac:dyDescent="0.25">
      <c r="A70" t="s">
        <v>46</v>
      </c>
      <c r="B70" s="8">
        <f>(B18/B24)*100</f>
        <v>87.895246665844567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58</v>
      </c>
    </row>
    <row r="74" spans="1:8" x14ac:dyDescent="0.25">
      <c r="A74" t="s">
        <v>118</v>
      </c>
    </row>
    <row r="75" spans="1:8" x14ac:dyDescent="0.25">
      <c r="A75" t="s">
        <v>119</v>
      </c>
      <c r="B75" s="10"/>
      <c r="C75" s="10"/>
      <c r="D75" s="10"/>
      <c r="E75" s="10"/>
    </row>
    <row r="76" spans="1:8" x14ac:dyDescent="0.25">
      <c r="A76" t="s">
        <v>59</v>
      </c>
    </row>
    <row r="77" spans="1:8" x14ac:dyDescent="0.25">
      <c r="A77" t="s">
        <v>120</v>
      </c>
    </row>
    <row r="79" spans="1:8" x14ac:dyDescent="0.25">
      <c r="A79" t="s">
        <v>121</v>
      </c>
    </row>
    <row r="80" spans="1:8" x14ac:dyDescent="0.25">
      <c r="A80" s="18" t="s">
        <v>122</v>
      </c>
    </row>
    <row r="81" spans="1:1" x14ac:dyDescent="0.25">
      <c r="A81" s="18" t="s">
        <v>123</v>
      </c>
    </row>
    <row r="82" spans="1:1" x14ac:dyDescent="0.25">
      <c r="A82" s="18" t="s">
        <v>124</v>
      </c>
    </row>
    <row r="83" spans="1:1" x14ac:dyDescent="0.25">
      <c r="A83" s="18" t="s">
        <v>125</v>
      </c>
    </row>
    <row r="84" spans="1:1" x14ac:dyDescent="0.25">
      <c r="A84" s="19" t="s">
        <v>126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workbookViewId="0">
      <selection activeCell="C54" sqref="C54:H54"/>
    </sheetView>
  </sheetViews>
  <sheetFormatPr baseColWidth="10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43" t="s">
        <v>82</v>
      </c>
      <c r="B2" s="43"/>
      <c r="C2" s="43"/>
      <c r="D2" s="43"/>
      <c r="E2" s="43"/>
      <c r="F2" s="43"/>
      <c r="G2" s="43"/>
      <c r="H2" s="43"/>
    </row>
    <row r="4" spans="1:8" x14ac:dyDescent="0.25">
      <c r="A4" s="38" t="s">
        <v>1</v>
      </c>
      <c r="B4" s="44" t="s">
        <v>2</v>
      </c>
      <c r="C4" s="42" t="s">
        <v>3</v>
      </c>
      <c r="D4" s="42"/>
      <c r="E4" s="42"/>
      <c r="F4" s="42"/>
      <c r="G4" s="42"/>
      <c r="H4" s="42"/>
    </row>
    <row r="5" spans="1:8" ht="15.75" thickBot="1" x14ac:dyDescent="0.3">
      <c r="A5" s="39"/>
      <c r="B5" s="45"/>
      <c r="C5" s="1" t="s">
        <v>4</v>
      </c>
      <c r="D5" s="1" t="s">
        <v>94</v>
      </c>
      <c r="E5" s="1" t="s">
        <v>95</v>
      </c>
      <c r="F5" s="1" t="s">
        <v>96</v>
      </c>
      <c r="G5" s="1" t="s">
        <v>5</v>
      </c>
      <c r="H5" s="1" t="s">
        <v>6</v>
      </c>
    </row>
    <row r="6" spans="1:8" ht="15.75" thickTop="1" x14ac:dyDescent="0.25"/>
    <row r="7" spans="1:8" x14ac:dyDescent="0.25">
      <c r="A7" s="2" t="s">
        <v>7</v>
      </c>
    </row>
    <row r="9" spans="1:8" x14ac:dyDescent="0.25">
      <c r="A9" t="s">
        <v>8</v>
      </c>
    </row>
    <row r="10" spans="1:8" x14ac:dyDescent="0.25">
      <c r="A10" s="3" t="s">
        <v>98</v>
      </c>
      <c r="B10" s="13">
        <f>('I Trimestre'!B10+'II trimestre'!B10)/2</f>
        <v>619975</v>
      </c>
      <c r="C10" s="13">
        <f>('I Trimestre'!C10+'II trimestre'!C10)/2</f>
        <v>472482.94750000001</v>
      </c>
      <c r="D10" s="13">
        <f>('I Trimestre'!D10+'II trimestre'!D10)/2</f>
        <v>136146.50999999998</v>
      </c>
      <c r="E10" s="13">
        <f>('I Trimestre'!E10+'II trimestre'!E10)/2</f>
        <v>105209.75749999999</v>
      </c>
      <c r="F10" s="13">
        <f>('I Trimestre'!F10+'II trimestre'!F10)/2</f>
        <v>30936.752499999999</v>
      </c>
      <c r="G10" s="13">
        <f>('I Trimestre'!G10+'II trimestre'!G10)/2</f>
        <v>3843.8449999999998</v>
      </c>
      <c r="H10" s="13">
        <f>('I Trimestre'!H10+'II trimestre'!H10)/2</f>
        <v>7501.6975000000002</v>
      </c>
    </row>
    <row r="11" spans="1:8" x14ac:dyDescent="0.25">
      <c r="A11" s="3" t="s">
        <v>99</v>
      </c>
      <c r="B11" s="13">
        <f>('I Trimestre'!B11+'II trimestre'!B11)/2</f>
        <v>621838</v>
      </c>
      <c r="C11" s="13">
        <f>('I Trimestre'!C11+'II trimestre'!C11)/2</f>
        <v>486980</v>
      </c>
      <c r="D11" s="13">
        <f>('I Trimestre'!D11+'II trimestre'!D11)/2</f>
        <v>123109</v>
      </c>
      <c r="E11" s="13">
        <f>('I Trimestre'!E11+'II trimestre'!E11)/2</f>
        <v>91641</v>
      </c>
      <c r="F11" s="13">
        <f>('I Trimestre'!F11+'II trimestre'!F11)/2</f>
        <v>31468</v>
      </c>
      <c r="G11" s="13">
        <f>('I Trimestre'!G11+'II trimestre'!G11)/2</f>
        <v>3793</v>
      </c>
      <c r="H11" s="13">
        <f>('I Trimestre'!H11+'II trimestre'!H11)/2</f>
        <v>7956</v>
      </c>
    </row>
    <row r="12" spans="1:8" x14ac:dyDescent="0.25">
      <c r="A12" s="3" t="s">
        <v>100</v>
      </c>
      <c r="B12" s="13">
        <f>('I Trimestre'!B12+'II trimestre'!B12)/2</f>
        <v>622822.5</v>
      </c>
      <c r="C12" s="13">
        <f>('I Trimestre'!C12+'II trimestre'!C12)/2</f>
        <v>486915.5</v>
      </c>
      <c r="D12" s="13">
        <f>('I Trimestre'!D12+'II trimestre'!D12)/2</f>
        <v>123522.5</v>
      </c>
      <c r="E12" s="13">
        <f>('I Trimestre'!E12+'II trimestre'!E12)/2</f>
        <v>92054.5</v>
      </c>
      <c r="F12" s="13">
        <f>('I Trimestre'!F12+'II trimestre'!F12)/2</f>
        <v>31468</v>
      </c>
      <c r="G12" s="13">
        <f>('I Trimestre'!G12+'II trimestre'!G12)/2</f>
        <v>3793</v>
      </c>
      <c r="H12" s="13">
        <f>('I Trimestre'!H12+'II trimestre'!H12)/2</f>
        <v>8591.5</v>
      </c>
    </row>
    <row r="13" spans="1:8" x14ac:dyDescent="0.25">
      <c r="A13" s="3" t="s">
        <v>12</v>
      </c>
      <c r="B13" s="13">
        <f>('I Trimestre'!B13+'II trimestre'!B13)/2</f>
        <v>621838</v>
      </c>
      <c r="C13" s="13">
        <f>('I Trimestre'!C13+'II trimestre'!C13)/2</f>
        <v>486980</v>
      </c>
      <c r="D13" s="13">
        <f>('I Trimestre'!D13+'II trimestre'!D13)/2</f>
        <v>123109</v>
      </c>
      <c r="E13" s="13">
        <f>('I Trimestre'!E13+'II trimestre'!E13)/2</f>
        <v>91641</v>
      </c>
      <c r="F13" s="13">
        <f>('I Trimestre'!F13+'II trimestre'!F13)/2</f>
        <v>31468</v>
      </c>
      <c r="G13" s="13">
        <f>('I Trimestre'!G13+'II trimestre'!G13)/2</f>
        <v>3793</v>
      </c>
      <c r="H13" s="13">
        <f>('I Trimestre'!H13+'II trimestre'!H13)/2</f>
        <v>7956</v>
      </c>
    </row>
    <row r="15" spans="1:8" x14ac:dyDescent="0.25">
      <c r="A15" s="5" t="s">
        <v>13</v>
      </c>
    </row>
    <row r="16" spans="1:8" x14ac:dyDescent="0.25">
      <c r="A16" s="3" t="s">
        <v>98</v>
      </c>
      <c r="B16" s="13">
        <f>'I Trimestre'!B16+'II trimestre'!B16</f>
        <v>18473936622.272724</v>
      </c>
      <c r="C16" s="13">
        <f>'I Trimestre'!C16+'II trimestre'!C16</f>
        <v>14938815517.272728</v>
      </c>
      <c r="D16" s="13">
        <f>'I Trimestre'!D16+'II trimestre'!D16</f>
        <v>3255315716.818182</v>
      </c>
      <c r="E16" s="13">
        <f>'I Trimestre'!E16+'II trimestre'!E16</f>
        <v>2433404308.181818</v>
      </c>
      <c r="F16" s="13">
        <f>'I Trimestre'!F16+'II trimestre'!F16</f>
        <v>821911408.63636351</v>
      </c>
      <c r="G16" s="13">
        <f>'I Trimestre'!G16+'II trimestre'!G16</f>
        <v>101215395.90909091</v>
      </c>
      <c r="H16" s="13">
        <f>'I Trimestre'!H16+'II trimestre'!H16</f>
        <v>178589992.27272725</v>
      </c>
    </row>
    <row r="17" spans="1:9" x14ac:dyDescent="0.25">
      <c r="A17" s="3" t="s">
        <v>99</v>
      </c>
      <c r="B17" s="13">
        <f>'I Trimestre'!B17+'II trimestre'!B17</f>
        <v>18347844491.818184</v>
      </c>
      <c r="C17" s="13">
        <f>'I Trimestre'!C17+'II trimestre'!C17</f>
        <v>14489793049.09091</v>
      </c>
      <c r="D17" s="13">
        <f>'I Trimestre'!D17+'II trimestre'!D17</f>
        <v>3525163489.545454</v>
      </c>
      <c r="E17" s="13">
        <f>'I Trimestre'!E17+'II trimestre'!E17</f>
        <v>2669791422.272727</v>
      </c>
      <c r="F17" s="13">
        <f>'I Trimestre'!F17+'II trimestre'!F17</f>
        <v>855372067.27272725</v>
      </c>
      <c r="G17" s="13">
        <f>'I Trimestre'!G17+'II trimestre'!G17</f>
        <v>119727830.45454544</v>
      </c>
      <c r="H17" s="13">
        <f>'I Trimestre'!H17+'II trimestre'!H17</f>
        <v>213160122.72727275</v>
      </c>
    </row>
    <row r="18" spans="1:9" x14ac:dyDescent="0.25">
      <c r="A18" s="3" t="s">
        <v>100</v>
      </c>
      <c r="B18" s="13">
        <f>'I Trimestre'!B18+'II trimestre'!B18</f>
        <v>19336198630</v>
      </c>
      <c r="C18" s="13">
        <f>'I Trimestre'!C18+'II trimestre'!C18</f>
        <v>15286002071</v>
      </c>
      <c r="D18" s="13">
        <f>'I Trimestre'!D18+'II trimestre'!D18+'III Trimestre'!D18</f>
        <v>5862584905</v>
      </c>
      <c r="E18" s="13">
        <f>'I Trimestre'!E18+'II trimestre'!E18+'III Trimestre'!E18</f>
        <v>4447965131</v>
      </c>
      <c r="F18" s="13">
        <f>'I Trimestre'!F18+'II trimestre'!F18+'III Trimestre'!F18</f>
        <v>1414619774</v>
      </c>
      <c r="G18" s="13">
        <f>'I Trimestre'!G18+'II trimestre'!G18+'III Trimestre'!G18</f>
        <v>198663983</v>
      </c>
      <c r="H18" s="13">
        <f>'I Trimestre'!H18+'II trimestre'!H18+'III Trimestre'!H18</f>
        <v>370400272</v>
      </c>
    </row>
    <row r="19" spans="1:9" x14ac:dyDescent="0.25">
      <c r="A19" s="3" t="s">
        <v>12</v>
      </c>
      <c r="B19" s="13">
        <f>'I Trimestre'!B19</f>
        <v>40365257882</v>
      </c>
      <c r="C19" s="13">
        <f>'I Trimestre'!C19</f>
        <v>31877544708</v>
      </c>
      <c r="D19" s="13">
        <f>'I Trimestre'!D19</f>
        <v>7755359677</v>
      </c>
      <c r="E19" s="13">
        <f>'I Trimestre'!E19</f>
        <v>5873541129</v>
      </c>
      <c r="F19" s="13">
        <f>'I Trimestre'!F19</f>
        <v>1881818548</v>
      </c>
      <c r="G19" s="13">
        <f>'I Trimestre'!G19</f>
        <v>263401227</v>
      </c>
      <c r="H19" s="13">
        <f>'I Trimestre'!H19</f>
        <v>468952270</v>
      </c>
      <c r="I19" s="6"/>
    </row>
    <row r="20" spans="1:9" x14ac:dyDescent="0.25">
      <c r="A20" s="3" t="s">
        <v>101</v>
      </c>
      <c r="B20" s="13">
        <f>B18</f>
        <v>19336198630</v>
      </c>
      <c r="C20" s="13">
        <f t="shared" ref="C20:H20" si="0">C18</f>
        <v>15286002071</v>
      </c>
      <c r="D20" s="13">
        <f t="shared" si="0"/>
        <v>5862584905</v>
      </c>
      <c r="E20" s="13">
        <f t="shared" si="0"/>
        <v>4447965131</v>
      </c>
      <c r="F20" s="13">
        <f t="shared" si="0"/>
        <v>1414619774</v>
      </c>
      <c r="G20" s="13">
        <f t="shared" si="0"/>
        <v>198663983</v>
      </c>
      <c r="H20" s="13">
        <f t="shared" si="0"/>
        <v>370400272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15</v>
      </c>
      <c r="B22" s="4"/>
      <c r="C22" s="4"/>
      <c r="D22" s="4"/>
      <c r="E22" s="4"/>
      <c r="F22" s="4"/>
    </row>
    <row r="23" spans="1:9" x14ac:dyDescent="0.25">
      <c r="A23" s="3" t="s">
        <v>99</v>
      </c>
      <c r="B23" s="13">
        <f>'I Trimestre'!B23+'II trimestre'!B23</f>
        <v>19668309637.489227</v>
      </c>
      <c r="I23" s="11"/>
    </row>
    <row r="24" spans="1:9" x14ac:dyDescent="0.25">
      <c r="A24" s="3" t="s">
        <v>100</v>
      </c>
      <c r="B24" s="13">
        <f>'I Trimestre'!B24+'II trimestre'!B24</f>
        <v>14851802475</v>
      </c>
    </row>
    <row r="26" spans="1:9" x14ac:dyDescent="0.25">
      <c r="A26" t="s">
        <v>16</v>
      </c>
    </row>
    <row r="27" spans="1:9" x14ac:dyDescent="0.25">
      <c r="A27" s="3" t="s">
        <v>102</v>
      </c>
      <c r="B27" s="16">
        <v>1.3875734139666667</v>
      </c>
      <c r="C27" s="16">
        <v>1.3875734139666667</v>
      </c>
      <c r="D27" s="16">
        <v>1.3875734139666667</v>
      </c>
      <c r="E27" s="16">
        <v>1.3875734139666667</v>
      </c>
      <c r="F27" s="16">
        <v>1.3875734139666667</v>
      </c>
      <c r="G27" s="16">
        <v>1.3875734139666667</v>
      </c>
      <c r="H27" s="16">
        <v>1.3875734139666667</v>
      </c>
    </row>
    <row r="28" spans="1:9" x14ac:dyDescent="0.25">
      <c r="A28" s="3" t="s">
        <v>103</v>
      </c>
      <c r="B28" s="11">
        <v>1.45394391315</v>
      </c>
      <c r="C28" s="11">
        <v>1.45394391315</v>
      </c>
      <c r="D28" s="11">
        <v>1.45394391315</v>
      </c>
      <c r="E28" s="11">
        <v>1.45394391315</v>
      </c>
      <c r="F28" s="11">
        <v>1.45394391315</v>
      </c>
      <c r="G28" s="11">
        <v>1.45394391315</v>
      </c>
      <c r="H28" s="11">
        <v>1.45394391315</v>
      </c>
    </row>
    <row r="29" spans="1:9" x14ac:dyDescent="0.25">
      <c r="A29" s="3" t="s">
        <v>19</v>
      </c>
      <c r="B29" s="4">
        <f>+C29+D29+G29+H29</f>
        <v>383178</v>
      </c>
      <c r="C29" s="4">
        <v>234572</v>
      </c>
      <c r="D29" s="4">
        <v>140620</v>
      </c>
      <c r="E29" s="17">
        <v>127792</v>
      </c>
      <c r="F29" s="17">
        <v>12828</v>
      </c>
      <c r="G29" s="4">
        <v>1392</v>
      </c>
      <c r="H29" s="4">
        <v>6594</v>
      </c>
    </row>
    <row r="31" spans="1:9" x14ac:dyDescent="0.25">
      <c r="A31" s="3" t="s">
        <v>20</v>
      </c>
    </row>
    <row r="32" spans="1:9" x14ac:dyDescent="0.25">
      <c r="A32" s="3" t="s">
        <v>104</v>
      </c>
      <c r="B32" s="6">
        <f>B16/B27</f>
        <v>13313844468.568436</v>
      </c>
      <c r="C32" s="6">
        <f t="shared" ref="C32:H32" si="1">C16/C27</f>
        <v>10766144239.220484</v>
      </c>
      <c r="D32" s="6">
        <f t="shared" ref="D32" si="2">D16/D27</f>
        <v>2346049357.858613</v>
      </c>
      <c r="E32" s="6">
        <f t="shared" si="1"/>
        <v>1753712116.1938572</v>
      </c>
      <c r="F32" s="6">
        <f>F16/F27</f>
        <v>592337241.6647557</v>
      </c>
      <c r="G32" s="6">
        <f t="shared" si="1"/>
        <v>72944173.540876433</v>
      </c>
      <c r="H32" s="6">
        <f t="shared" si="1"/>
        <v>128706697.94846435</v>
      </c>
    </row>
    <row r="33" spans="1:8" x14ac:dyDescent="0.25">
      <c r="A33" s="3" t="s">
        <v>105</v>
      </c>
      <c r="B33" s="6">
        <f>B18/B28</f>
        <v>13299136545.169558</v>
      </c>
      <c r="C33" s="6">
        <f t="shared" ref="C33:H33" si="3">C18/C28</f>
        <v>10513474373.218809</v>
      </c>
      <c r="D33" s="6">
        <f t="shared" ref="D33" si="4">D18/D28</f>
        <v>4032194675.4456205</v>
      </c>
      <c r="E33" s="6">
        <f t="shared" si="3"/>
        <v>3059241206.4667544</v>
      </c>
      <c r="F33" s="6">
        <f t="shared" si="3"/>
        <v>972953468.97886622</v>
      </c>
      <c r="G33" s="6">
        <f t="shared" si="3"/>
        <v>136637996.28253219</v>
      </c>
      <c r="H33" s="6">
        <f t="shared" si="3"/>
        <v>254755543.62858471</v>
      </c>
    </row>
    <row r="34" spans="1:8" x14ac:dyDescent="0.25">
      <c r="A34" s="3" t="s">
        <v>106</v>
      </c>
      <c r="B34" s="6">
        <f>B32/B10</f>
        <v>21474.808610941465</v>
      </c>
      <c r="C34" s="6">
        <f t="shared" ref="C34:H34" si="5">C32/C10</f>
        <v>22786.312810200379</v>
      </c>
      <c r="D34" s="6">
        <f t="shared" ref="D34" si="6">D32/D10</f>
        <v>17231.799462642219</v>
      </c>
      <c r="E34" s="6">
        <f t="shared" si="5"/>
        <v>16668.721208618481</v>
      </c>
      <c r="F34" s="6">
        <f t="shared" si="5"/>
        <v>19146.716891656801</v>
      </c>
      <c r="G34" s="6">
        <f t="shared" si="5"/>
        <v>18976.876939854868</v>
      </c>
      <c r="H34" s="6">
        <f t="shared" si="5"/>
        <v>17157.009856564378</v>
      </c>
    </row>
    <row r="35" spans="1:8" x14ac:dyDescent="0.25">
      <c r="A35" s="3" t="s">
        <v>107</v>
      </c>
      <c r="B35" s="6">
        <f>B33/B12</f>
        <v>21353.01236735917</v>
      </c>
      <c r="C35" s="6">
        <f t="shared" ref="C35:H35" si="7">C33/C12</f>
        <v>21591.98952019151</v>
      </c>
      <c r="D35" s="6">
        <f t="shared" ref="D35" si="8">D33/D12</f>
        <v>32643.402420171391</v>
      </c>
      <c r="E35" s="6">
        <f t="shared" si="7"/>
        <v>33232.934907763927</v>
      </c>
      <c r="F35" s="6">
        <f t="shared" si="7"/>
        <v>30918.821309866093</v>
      </c>
      <c r="G35" s="6">
        <f t="shared" si="7"/>
        <v>36023.726939765933</v>
      </c>
      <c r="H35" s="6">
        <f t="shared" si="7"/>
        <v>29652.044884896084</v>
      </c>
    </row>
    <row r="37" spans="1:8" x14ac:dyDescent="0.25">
      <c r="A37" s="2" t="s">
        <v>25</v>
      </c>
    </row>
    <row r="39" spans="1:8" x14ac:dyDescent="0.25">
      <c r="A39" t="s">
        <v>26</v>
      </c>
    </row>
    <row r="40" spans="1:8" x14ac:dyDescent="0.25">
      <c r="A40" t="s">
        <v>27</v>
      </c>
      <c r="B40" s="7">
        <f>((B11)/B29)*100</f>
        <v>162.28436914436634</v>
      </c>
      <c r="C40" s="7">
        <f t="shared" ref="C40:H40" si="9">((C11)/C29)*100</f>
        <v>207.60363555752605</v>
      </c>
      <c r="D40" s="7">
        <f t="shared" si="9"/>
        <v>87.547290570331398</v>
      </c>
      <c r="E40" s="7">
        <f t="shared" si="9"/>
        <v>71.711061725303608</v>
      </c>
      <c r="F40" s="7">
        <f t="shared" si="9"/>
        <v>245.30714062987212</v>
      </c>
      <c r="G40" s="7">
        <f t="shared" si="9"/>
        <v>272.48563218390808</v>
      </c>
      <c r="H40" s="7">
        <f t="shared" si="9"/>
        <v>120.65514103730663</v>
      </c>
    </row>
    <row r="41" spans="1:8" x14ac:dyDescent="0.25">
      <c r="A41" t="s">
        <v>28</v>
      </c>
      <c r="B41" s="7">
        <f>((B12)/B29)*100</f>
        <v>162.54129934390807</v>
      </c>
      <c r="C41" s="7">
        <f t="shared" ref="C41:H41" si="10">((C12)/C29)*100</f>
        <v>207.57613866957692</v>
      </c>
      <c r="D41" s="7">
        <f t="shared" si="10"/>
        <v>87.841345470061157</v>
      </c>
      <c r="E41" s="7">
        <f t="shared" si="10"/>
        <v>72.0346344059096</v>
      </c>
      <c r="F41" s="7">
        <f t="shared" si="10"/>
        <v>245.30714062987212</v>
      </c>
      <c r="G41" s="7">
        <f t="shared" si="10"/>
        <v>272.48563218390808</v>
      </c>
      <c r="H41" s="7">
        <f t="shared" si="10"/>
        <v>130.29269032453746</v>
      </c>
    </row>
    <row r="43" spans="1:8" x14ac:dyDescent="0.25">
      <c r="A43" t="s">
        <v>29</v>
      </c>
    </row>
    <row r="44" spans="1:8" x14ac:dyDescent="0.25">
      <c r="A44" t="s">
        <v>30</v>
      </c>
      <c r="B44" s="7">
        <f>B12/B11*100</f>
        <v>100.15832097748931</v>
      </c>
      <c r="C44" s="7">
        <f t="shared" ref="C44:H44" si="11">C12/C11*100</f>
        <v>99.986755102878959</v>
      </c>
      <c r="D44" s="7">
        <f t="shared" ref="D44" si="12">D12/D11*100</f>
        <v>100.3358812109594</v>
      </c>
      <c r="E44" s="7">
        <f t="shared" si="11"/>
        <v>100.45121724992087</v>
      </c>
      <c r="F44" s="7">
        <f t="shared" si="11"/>
        <v>100</v>
      </c>
      <c r="G44" s="7">
        <f t="shared" si="11"/>
        <v>100</v>
      </c>
      <c r="H44" s="7">
        <f t="shared" si="11"/>
        <v>107.98768225238813</v>
      </c>
    </row>
    <row r="45" spans="1:8" x14ac:dyDescent="0.25">
      <c r="A45" t="s">
        <v>31</v>
      </c>
      <c r="B45" s="7">
        <f>B18/B17*100</f>
        <v>105.38675885672866</v>
      </c>
      <c r="C45" s="7">
        <f t="shared" ref="C45:H45" si="13">C18/C17*100</f>
        <v>105.49496476044592</v>
      </c>
      <c r="D45" s="7">
        <f t="shared" ref="D45" si="14">D18/D17*100</f>
        <v>166.30675208076494</v>
      </c>
      <c r="E45" s="7">
        <f t="shared" si="13"/>
        <v>166.60346924081276</v>
      </c>
      <c r="F45" s="7">
        <f t="shared" si="13"/>
        <v>165.38063704960356</v>
      </c>
      <c r="G45" s="7">
        <f t="shared" si="13"/>
        <v>165.92966083639394</v>
      </c>
      <c r="H45" s="7">
        <f t="shared" si="13"/>
        <v>173.76621258278587</v>
      </c>
    </row>
    <row r="46" spans="1:8" x14ac:dyDescent="0.25">
      <c r="A46" t="s">
        <v>32</v>
      </c>
      <c r="B46" s="7">
        <f>AVERAGE(B44:B45)</f>
        <v>102.77253991710899</v>
      </c>
      <c r="C46" s="7">
        <f t="shared" ref="C46:H46" si="15">AVERAGE(C44:C45)</f>
        <v>102.74085993166244</v>
      </c>
      <c r="D46" s="7">
        <f t="shared" ref="D46" si="16">AVERAGE(D44:D45)</f>
        <v>133.32131664586217</v>
      </c>
      <c r="E46" s="7">
        <f t="shared" si="15"/>
        <v>133.52734324536681</v>
      </c>
      <c r="F46" s="7">
        <f t="shared" si="15"/>
        <v>132.6903185248018</v>
      </c>
      <c r="G46" s="7">
        <f t="shared" si="15"/>
        <v>132.96483041819698</v>
      </c>
      <c r="H46" s="7">
        <f t="shared" si="15"/>
        <v>140.87694741758699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33</v>
      </c>
    </row>
    <row r="49" spans="1:8" x14ac:dyDescent="0.25">
      <c r="A49" t="s">
        <v>34</v>
      </c>
      <c r="B49" s="7">
        <f>B12/(B13)*100</f>
        <v>100.15832097748931</v>
      </c>
      <c r="C49" s="7">
        <f t="shared" ref="C49:H49" si="17">C12/(C13)*100</f>
        <v>99.986755102878959</v>
      </c>
      <c r="D49" s="7">
        <f t="shared" si="17"/>
        <v>100.3358812109594</v>
      </c>
      <c r="E49" s="7">
        <f t="shared" si="17"/>
        <v>100.45121724992087</v>
      </c>
      <c r="F49" s="7">
        <f t="shared" si="17"/>
        <v>100</v>
      </c>
      <c r="G49" s="7">
        <f t="shared" si="17"/>
        <v>100</v>
      </c>
      <c r="H49" s="7">
        <f t="shared" si="17"/>
        <v>107.98768225238813</v>
      </c>
    </row>
    <row r="50" spans="1:8" x14ac:dyDescent="0.25">
      <c r="A50" t="s">
        <v>35</v>
      </c>
      <c r="B50" s="7">
        <f>B18/B19*100</f>
        <v>47.903072207603934</v>
      </c>
      <c r="C50" s="7">
        <f t="shared" ref="C50:H50" si="18">C18/C19*100</f>
        <v>47.952256709293614</v>
      </c>
      <c r="D50" s="7">
        <f t="shared" ref="D50" si="19">D18/D19*100</f>
        <v>75.5939782185295</v>
      </c>
      <c r="E50" s="7">
        <f t="shared" si="18"/>
        <v>75.728849654914882</v>
      </c>
      <c r="F50" s="7">
        <f t="shared" si="18"/>
        <v>75.173016840728906</v>
      </c>
      <c r="G50" s="7">
        <f t="shared" si="18"/>
        <v>75.422573107451768</v>
      </c>
      <c r="H50" s="7">
        <f t="shared" si="18"/>
        <v>78.984642083084495</v>
      </c>
    </row>
    <row r="51" spans="1:8" x14ac:dyDescent="0.25">
      <c r="A51" t="s">
        <v>36</v>
      </c>
      <c r="B51" s="7">
        <f>(B49+B50)/2</f>
        <v>74.030696592546619</v>
      </c>
      <c r="C51" s="7">
        <f t="shared" ref="C51:H51" si="20">(C49+C50)/2</f>
        <v>73.969505906086283</v>
      </c>
      <c r="D51" s="7">
        <f t="shared" ref="D51" si="21">(D49+D50)/2</f>
        <v>87.964929714744443</v>
      </c>
      <c r="E51" s="7">
        <f t="shared" si="20"/>
        <v>88.090033452417885</v>
      </c>
      <c r="F51" s="7">
        <f t="shared" si="20"/>
        <v>87.586508420364453</v>
      </c>
      <c r="G51" s="7">
        <f t="shared" si="20"/>
        <v>87.711286553725884</v>
      </c>
      <c r="H51" s="7">
        <f t="shared" si="20"/>
        <v>93.48616216773631</v>
      </c>
    </row>
    <row r="53" spans="1:8" x14ac:dyDescent="0.25">
      <c r="A53" t="s">
        <v>93</v>
      </c>
    </row>
    <row r="54" spans="1:8" x14ac:dyDescent="0.25">
      <c r="A54" t="s">
        <v>37</v>
      </c>
      <c r="B54" s="20">
        <f>(B20/B18)*100</f>
        <v>100</v>
      </c>
      <c r="C54" s="7"/>
      <c r="D54" s="7"/>
      <c r="E54" s="7"/>
      <c r="F54" s="7"/>
      <c r="G54" s="7"/>
      <c r="H54" s="7"/>
    </row>
    <row r="56" spans="1:8" x14ac:dyDescent="0.25">
      <c r="A56" t="s">
        <v>38</v>
      </c>
    </row>
    <row r="57" spans="1:8" x14ac:dyDescent="0.25">
      <c r="A57" t="s">
        <v>39</v>
      </c>
      <c r="B57" s="7">
        <f>((B12/B10)-1)*100</f>
        <v>0.45929271341587086</v>
      </c>
      <c r="C57" s="7">
        <f t="shared" ref="C57:H57" si="22">((C12/C10)-1)*100</f>
        <v>3.0546187066359698</v>
      </c>
      <c r="D57" s="7">
        <f t="shared" si="22"/>
        <v>-9.2723713593539703</v>
      </c>
      <c r="E57" s="7">
        <f t="shared" si="22"/>
        <v>-12.50383786884025</v>
      </c>
      <c r="F57" s="7">
        <f t="shared" si="22"/>
        <v>1.7172051268147914</v>
      </c>
      <c r="G57" s="7">
        <f t="shared" si="22"/>
        <v>-1.322764055262371</v>
      </c>
      <c r="H57" s="7">
        <f t="shared" si="22"/>
        <v>14.527411962425841</v>
      </c>
    </row>
    <row r="58" spans="1:8" x14ac:dyDescent="0.25">
      <c r="A58" t="s">
        <v>40</v>
      </c>
      <c r="B58" s="7">
        <f>((B33/B32)-1)*100</f>
        <v>-0.11047089691937906</v>
      </c>
      <c r="C58" s="7">
        <f t="shared" ref="C58:H58" si="23">((C33/C32)-1)*100</f>
        <v>-2.3468928187048821</v>
      </c>
      <c r="D58" s="7">
        <f t="shared" si="23"/>
        <v>71.871689823527788</v>
      </c>
      <c r="E58" s="7">
        <f t="shared" si="23"/>
        <v>74.44375152669484</v>
      </c>
      <c r="F58" s="7">
        <f t="shared" si="23"/>
        <v>64.256676862726692</v>
      </c>
      <c r="G58" s="7">
        <f t="shared" si="23"/>
        <v>87.318588517509241</v>
      </c>
      <c r="H58" s="7">
        <f t="shared" si="23"/>
        <v>97.934954193752816</v>
      </c>
    </row>
    <row r="59" spans="1:8" x14ac:dyDescent="0.25">
      <c r="A59" t="s">
        <v>41</v>
      </c>
      <c r="B59" s="7">
        <f>((B35/B34)-1)*100</f>
        <v>-0.56715869179034817</v>
      </c>
      <c r="C59" s="7">
        <f t="shared" ref="C59:H59" si="24">((C35/C34)-1)*100</f>
        <v>-5.2414065406590327</v>
      </c>
      <c r="D59" s="7">
        <f t="shared" si="24"/>
        <v>89.436991133403382</v>
      </c>
      <c r="E59" s="7">
        <f t="shared" si="24"/>
        <v>99.373032231056825</v>
      </c>
      <c r="F59" s="7">
        <f t="shared" si="24"/>
        <v>61.483670985593349</v>
      </c>
      <c r="G59" s="7">
        <f t="shared" si="24"/>
        <v>89.829586048005609</v>
      </c>
      <c r="H59" s="7">
        <f t="shared" si="24"/>
        <v>72.827579705277316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42</v>
      </c>
    </row>
    <row r="62" spans="1:8" x14ac:dyDescent="0.25">
      <c r="A62" t="s">
        <v>128</v>
      </c>
      <c r="B62" s="4">
        <f>B17/(B11*6)</f>
        <v>4917.6378445345854</v>
      </c>
      <c r="C62" s="4">
        <f t="shared" ref="C62:H62" si="25">C17/(C11*6)</f>
        <v>4959.0650708074627</v>
      </c>
      <c r="D62" s="4">
        <f t="shared" si="25"/>
        <v>4772.4150814122095</v>
      </c>
      <c r="E62" s="4">
        <f t="shared" si="25"/>
        <v>4855.5257695295177</v>
      </c>
      <c r="F62" s="4">
        <f t="shared" si="25"/>
        <v>4530.3804249434734</v>
      </c>
      <c r="G62" s="4">
        <f t="shared" si="25"/>
        <v>5260.9117872636189</v>
      </c>
      <c r="H62" s="4">
        <f t="shared" si="25"/>
        <v>4465.3955657632132</v>
      </c>
    </row>
    <row r="63" spans="1:8" x14ac:dyDescent="0.25">
      <c r="A63" t="s">
        <v>129</v>
      </c>
      <c r="B63" s="4">
        <f>B18/(B12*6)</f>
        <v>5174.3470598230906</v>
      </c>
      <c r="C63" s="4">
        <f t="shared" ref="C63:H63" si="26">C18/(C12*6)</f>
        <v>5232.2569559468393</v>
      </c>
      <c r="D63" s="4">
        <f t="shared" si="26"/>
        <v>7910.2793755523626</v>
      </c>
      <c r="E63" s="4">
        <f t="shared" si="26"/>
        <v>8053.1372375422534</v>
      </c>
      <c r="F63" s="4">
        <f t="shared" si="26"/>
        <v>7492.3720075420533</v>
      </c>
      <c r="G63" s="4">
        <f t="shared" si="26"/>
        <v>8729.4130855083931</v>
      </c>
      <c r="H63" s="4">
        <f t="shared" si="26"/>
        <v>7185.4016954742092</v>
      </c>
    </row>
    <row r="64" spans="1:8" x14ac:dyDescent="0.25">
      <c r="A64" t="s">
        <v>43</v>
      </c>
      <c r="B64" s="10">
        <f>(B62/B63)*B46</f>
        <v>97.673798419813735</v>
      </c>
      <c r="C64" s="10">
        <f t="shared" ref="C64:H64" si="27">(C62/C63)*C46</f>
        <v>97.376450377259687</v>
      </c>
      <c r="D64" s="10">
        <f t="shared" ref="D64" si="28">(D62/D63)*D46</f>
        <v>80.435169483507124</v>
      </c>
      <c r="E64" s="10">
        <f t="shared" si="27"/>
        <v>80.508432545048862</v>
      </c>
      <c r="F64" s="10">
        <f t="shared" si="27"/>
        <v>80.233285402693923</v>
      </c>
      <c r="G64" s="10">
        <f t="shared" si="27"/>
        <v>80.13325028687899</v>
      </c>
      <c r="H64" s="10">
        <f t="shared" si="27"/>
        <v>87.548521707975851</v>
      </c>
    </row>
    <row r="65" spans="1:8" x14ac:dyDescent="0.25">
      <c r="A65" t="s">
        <v>130</v>
      </c>
      <c r="B65" s="4">
        <f>B17/B11</f>
        <v>29505.827067207509</v>
      </c>
      <c r="C65" s="4">
        <f t="shared" ref="C65:H65" si="29">C17/C11</f>
        <v>29754.390424844776</v>
      </c>
      <c r="D65" s="4">
        <f t="shared" si="29"/>
        <v>28634.490488473257</v>
      </c>
      <c r="E65" s="4">
        <f t="shared" si="29"/>
        <v>29133.154617177104</v>
      </c>
      <c r="F65" s="4">
        <f t="shared" si="29"/>
        <v>27182.282549660838</v>
      </c>
      <c r="G65" s="4">
        <f t="shared" si="29"/>
        <v>31565.470723581715</v>
      </c>
      <c r="H65" s="4">
        <f t="shared" si="29"/>
        <v>26792.373394579281</v>
      </c>
    </row>
    <row r="66" spans="1:8" x14ac:dyDescent="0.25">
      <c r="A66" t="s">
        <v>131</v>
      </c>
      <c r="B66" s="4">
        <f>B18/B12</f>
        <v>31046.082358938544</v>
      </c>
      <c r="C66" s="4">
        <f t="shared" ref="C66:H66" si="30">C18/C12</f>
        <v>31393.541735681036</v>
      </c>
      <c r="D66" s="4">
        <f t="shared" si="30"/>
        <v>47461.676253314174</v>
      </c>
      <c r="E66" s="4">
        <f t="shared" si="30"/>
        <v>48318.823425253519</v>
      </c>
      <c r="F66" s="4">
        <f t="shared" si="30"/>
        <v>44954.23204525232</v>
      </c>
      <c r="G66" s="4">
        <f t="shared" si="30"/>
        <v>52376.478513050359</v>
      </c>
      <c r="H66" s="4">
        <f t="shared" si="30"/>
        <v>43112.410172845252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44</v>
      </c>
      <c r="B68" s="7"/>
      <c r="C68" s="7"/>
      <c r="D68" s="7"/>
      <c r="E68" s="7"/>
      <c r="F68" s="7"/>
    </row>
    <row r="69" spans="1:8" x14ac:dyDescent="0.25">
      <c r="A69" t="s">
        <v>45</v>
      </c>
      <c r="B69" s="8">
        <f>(B24/B23)*100</f>
        <v>75.511331419612119</v>
      </c>
      <c r="C69" s="7"/>
      <c r="D69" s="7"/>
      <c r="E69" s="7"/>
      <c r="F69" s="7"/>
      <c r="G69" s="7"/>
      <c r="H69" s="7"/>
    </row>
    <row r="70" spans="1:8" x14ac:dyDescent="0.25">
      <c r="A70" t="s">
        <v>46</v>
      </c>
      <c r="B70" s="8">
        <f>(B18/B24)*100</f>
        <v>130.19428895952913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58</v>
      </c>
    </row>
    <row r="74" spans="1:8" x14ac:dyDescent="0.25">
      <c r="A74" t="s">
        <v>118</v>
      </c>
    </row>
    <row r="75" spans="1:8" x14ac:dyDescent="0.25">
      <c r="A75" t="s">
        <v>119</v>
      </c>
      <c r="B75" s="10"/>
      <c r="C75" s="10"/>
      <c r="D75" s="10"/>
      <c r="E75" s="10"/>
    </row>
    <row r="76" spans="1:8" x14ac:dyDescent="0.25">
      <c r="A76" t="s">
        <v>59</v>
      </c>
    </row>
    <row r="77" spans="1:8" x14ac:dyDescent="0.25">
      <c r="A77" t="s">
        <v>120</v>
      </c>
    </row>
    <row r="79" spans="1:8" x14ac:dyDescent="0.25">
      <c r="A79" t="s">
        <v>121</v>
      </c>
    </row>
    <row r="80" spans="1:8" x14ac:dyDescent="0.25">
      <c r="A80" s="18" t="s">
        <v>122</v>
      </c>
    </row>
    <row r="81" spans="1:1" x14ac:dyDescent="0.25">
      <c r="A81" s="18" t="s">
        <v>123</v>
      </c>
    </row>
    <row r="82" spans="1:1" x14ac:dyDescent="0.25">
      <c r="A82" s="18" t="s">
        <v>124</v>
      </c>
    </row>
    <row r="83" spans="1:1" x14ac:dyDescent="0.25">
      <c r="A83" s="18" t="s">
        <v>125</v>
      </c>
    </row>
    <row r="84" spans="1:1" x14ac:dyDescent="0.25">
      <c r="A84" s="19" t="s">
        <v>126</v>
      </c>
    </row>
  </sheetData>
  <mergeCells count="4">
    <mergeCell ref="A2:H2"/>
    <mergeCell ref="A4:A5"/>
    <mergeCell ref="B4:B5"/>
    <mergeCell ref="C4:H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4"/>
  <sheetViews>
    <sheetView workbookViewId="0">
      <selection activeCell="C54" sqref="C54:H54"/>
    </sheetView>
  </sheetViews>
  <sheetFormatPr baseColWidth="10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43" t="s">
        <v>82</v>
      </c>
      <c r="B2" s="43"/>
      <c r="C2" s="43"/>
      <c r="D2" s="43"/>
      <c r="E2" s="43"/>
      <c r="F2" s="43"/>
      <c r="G2" s="43"/>
      <c r="H2" s="43"/>
    </row>
    <row r="4" spans="1:8" x14ac:dyDescent="0.25">
      <c r="A4" s="38" t="s">
        <v>1</v>
      </c>
      <c r="B4" s="40" t="s">
        <v>2</v>
      </c>
      <c r="C4" s="42" t="s">
        <v>3</v>
      </c>
      <c r="D4" s="42"/>
      <c r="E4" s="42"/>
      <c r="F4" s="42"/>
      <c r="G4" s="42"/>
      <c r="H4" s="42"/>
    </row>
    <row r="5" spans="1:8" ht="15.75" thickBot="1" x14ac:dyDescent="0.3">
      <c r="A5" s="39"/>
      <c r="B5" s="41"/>
      <c r="C5" s="1" t="s">
        <v>4</v>
      </c>
      <c r="D5" s="1" t="s">
        <v>94</v>
      </c>
      <c r="E5" s="1" t="s">
        <v>95</v>
      </c>
      <c r="F5" s="1" t="s">
        <v>96</v>
      </c>
      <c r="G5" s="1" t="s">
        <v>5</v>
      </c>
      <c r="H5" s="1" t="s">
        <v>6</v>
      </c>
    </row>
    <row r="6" spans="1:8" ht="15.75" thickTop="1" x14ac:dyDescent="0.25"/>
    <row r="7" spans="1:8" x14ac:dyDescent="0.25">
      <c r="A7" s="2" t="s">
        <v>7</v>
      </c>
    </row>
    <row r="9" spans="1:8" x14ac:dyDescent="0.25">
      <c r="A9" t="s">
        <v>8</v>
      </c>
    </row>
    <row r="10" spans="1:8" x14ac:dyDescent="0.25">
      <c r="A10" s="3" t="s">
        <v>108</v>
      </c>
      <c r="B10" s="13">
        <f>('I Trimestre'!B10+'II trimestre'!B10+'III Trimestre'!B10)/3</f>
        <v>619975</v>
      </c>
      <c r="C10" s="13">
        <f>('I Trimestre'!C10+'II trimestre'!C10+'III Trimestre'!C10)/3</f>
        <v>472482.94750000001</v>
      </c>
      <c r="D10" s="13">
        <f>('I Trimestre'!D10+'II trimestre'!D10+'III Trimestre'!D10)/3</f>
        <v>136146.50999999998</v>
      </c>
      <c r="E10" s="13">
        <f>('I Trimestre'!E10+'II trimestre'!E10+'III Trimestre'!E10)/3</f>
        <v>105209.75749999999</v>
      </c>
      <c r="F10" s="13">
        <f>('I Trimestre'!F10+'II trimestre'!F10+'III Trimestre'!F10)/3</f>
        <v>30936.752499999999</v>
      </c>
      <c r="G10" s="13">
        <f>('I Trimestre'!G10+'II trimestre'!G10+'III Trimestre'!G10)/3</f>
        <v>3843.8449999999998</v>
      </c>
      <c r="H10" s="13">
        <f>('I Trimestre'!H10+'II trimestre'!H10+'III Trimestre'!H10)/3</f>
        <v>7501.6974999999993</v>
      </c>
    </row>
    <row r="11" spans="1:8" x14ac:dyDescent="0.25">
      <c r="A11" s="3" t="s">
        <v>109</v>
      </c>
      <c r="B11" s="13">
        <f>('I Trimestre'!B11+'II trimestre'!B11+'III Trimestre'!B11)/3</f>
        <v>621838</v>
      </c>
      <c r="C11" s="13">
        <f>('I Trimestre'!C11+'II trimestre'!C11+'III Trimestre'!C11)/3</f>
        <v>486980</v>
      </c>
      <c r="D11" s="13">
        <f>('I Trimestre'!D11+'II trimestre'!D11+'III Trimestre'!D11)/3</f>
        <v>123109</v>
      </c>
      <c r="E11" s="13">
        <f>('I Trimestre'!E11+'II trimestre'!E11+'III Trimestre'!E11)/3</f>
        <v>91641</v>
      </c>
      <c r="F11" s="13">
        <f>('I Trimestre'!F11+'II trimestre'!F11+'III Trimestre'!F11)/3</f>
        <v>31468</v>
      </c>
      <c r="G11" s="13">
        <f>('I Trimestre'!G11+'II trimestre'!G11+'III Trimestre'!G11)/3</f>
        <v>3793</v>
      </c>
      <c r="H11" s="13">
        <f>('I Trimestre'!H11+'II trimestre'!H11+'III Trimestre'!H11)/3</f>
        <v>7956</v>
      </c>
    </row>
    <row r="12" spans="1:8" x14ac:dyDescent="0.25">
      <c r="A12" s="3" t="s">
        <v>110</v>
      </c>
      <c r="B12" s="13">
        <f>('I Trimestre'!B12+'II trimestre'!B12+'III Trimestre'!B12)/3</f>
        <v>618423</v>
      </c>
      <c r="C12" s="13">
        <f>('I Trimestre'!C12+'II trimestre'!C12+'III Trimestre'!C12)/3</f>
        <v>481874</v>
      </c>
      <c r="D12" s="13">
        <f>('I Trimestre'!D12+'II trimestre'!D12+'III Trimestre'!D12)/3</f>
        <v>123873</v>
      </c>
      <c r="E12" s="13">
        <f>('I Trimestre'!E12+'II trimestre'!E12+'III Trimestre'!E12)/3</f>
        <v>92413</v>
      </c>
      <c r="F12" s="13">
        <f>('I Trimestre'!F12+'II trimestre'!F12+'III Trimestre'!F12)/3</f>
        <v>31460</v>
      </c>
      <c r="G12" s="13">
        <f>('I Trimestre'!G12+'II trimestre'!G12+'III Trimestre'!G12)/3</f>
        <v>3816</v>
      </c>
      <c r="H12" s="13">
        <f>('I Trimestre'!H12+'II trimestre'!H12+'III Trimestre'!H12)/3</f>
        <v>8860</v>
      </c>
    </row>
    <row r="13" spans="1:8" x14ac:dyDescent="0.25">
      <c r="A13" s="3" t="s">
        <v>12</v>
      </c>
      <c r="B13" s="13">
        <f>('I Trimestre'!B13+'II trimestre'!B13+'III Trimestre'!B13)/3</f>
        <v>621838</v>
      </c>
      <c r="C13" s="13">
        <f>('I Trimestre'!C13+'II trimestre'!C13+'III Trimestre'!C13)/3</f>
        <v>486980</v>
      </c>
      <c r="D13" s="13">
        <f>('I Trimestre'!D13+'II trimestre'!D13+'III Trimestre'!D13)/3</f>
        <v>123109</v>
      </c>
      <c r="E13" s="13">
        <f>('I Trimestre'!E13+'II trimestre'!E13+'III Trimestre'!E13)/3</f>
        <v>91641</v>
      </c>
      <c r="F13" s="13">
        <f>('I Trimestre'!F13+'II trimestre'!F13+'III Trimestre'!F13)/3</f>
        <v>31468</v>
      </c>
      <c r="G13" s="13">
        <f>('I Trimestre'!G13+'II trimestre'!G13+'III Trimestre'!G13)/3</f>
        <v>3793</v>
      </c>
      <c r="H13" s="13">
        <f>('I Trimestre'!H13+'II trimestre'!H13+'III Trimestre'!H13)/3</f>
        <v>7956</v>
      </c>
    </row>
    <row r="15" spans="1:8" x14ac:dyDescent="0.25">
      <c r="A15" s="5" t="s">
        <v>13</v>
      </c>
    </row>
    <row r="16" spans="1:8" x14ac:dyDescent="0.25">
      <c r="A16" s="3" t="s">
        <v>108</v>
      </c>
      <c r="B16" s="13">
        <f>'I Trimestre'!B16+'II trimestre'!B16+'III Trimestre'!B16</f>
        <v>29558298595.63636</v>
      </c>
      <c r="C16" s="13">
        <f>'I Trimestre'!C16+'II trimestre'!C16+'III Trimestre'!C16</f>
        <v>23902104827.636364</v>
      </c>
      <c r="D16" s="13">
        <f>'I Trimestre'!D16+'II trimestre'!D16+'III Trimestre'!D16</f>
        <v>5208505146.909091</v>
      </c>
      <c r="E16" s="13">
        <f>'I Trimestre'!E16+'II trimestre'!E16+'III Trimestre'!E16</f>
        <v>3893446893.090909</v>
      </c>
      <c r="F16" s="13">
        <f>'I Trimestre'!F16+'II trimestre'!F16+'III Trimestre'!F16</f>
        <v>1315058253.8181815</v>
      </c>
      <c r="G16" s="13">
        <f>'I Trimestre'!G16+'II trimestre'!G16+'III Trimestre'!G16</f>
        <v>161944633.45454544</v>
      </c>
      <c r="H16" s="13">
        <f>'I Trimestre'!H16+'II trimestre'!H16+'III Trimestre'!H16</f>
        <v>285743987.63636363</v>
      </c>
    </row>
    <row r="17" spans="1:9" x14ac:dyDescent="0.25">
      <c r="A17" s="3" t="s">
        <v>109</v>
      </c>
      <c r="B17" s="13">
        <f>'I Trimestre'!B17+'II trimestre'!B17+'III Trimestre'!B17</f>
        <v>29356551186.909096</v>
      </c>
      <c r="C17" s="13">
        <f>'I Trimestre'!C17+'II trimestre'!C17+'III Trimestre'!C17</f>
        <v>23183668878.545456</v>
      </c>
      <c r="D17" s="13">
        <f>'I Trimestre'!D17+'II trimestre'!D17+'III Trimestre'!D17</f>
        <v>5640261583.2727261</v>
      </c>
      <c r="E17" s="13">
        <f>'I Trimestre'!E17+'II trimestre'!E17+'III Trimestre'!E17</f>
        <v>4271666275.636363</v>
      </c>
      <c r="F17" s="13">
        <f>'I Trimestre'!F17+'II trimestre'!F17+'III Trimestre'!F17</f>
        <v>1368595307.6363635</v>
      </c>
      <c r="G17" s="13">
        <f>'I Trimestre'!G17+'II trimestre'!G17+'III Trimestre'!G17</f>
        <v>191564528.72727269</v>
      </c>
      <c r="H17" s="13">
        <f>'I Trimestre'!H17+'II trimestre'!H17+'III Trimestre'!H17</f>
        <v>341056196.36363637</v>
      </c>
    </row>
    <row r="18" spans="1:9" x14ac:dyDescent="0.25">
      <c r="A18" s="3" t="s">
        <v>110</v>
      </c>
      <c r="B18" s="13">
        <f>'I Trimestre'!B18+'II trimestre'!B18+'III Trimestre'!B18</f>
        <v>30426784616</v>
      </c>
      <c r="C18" s="13">
        <f>'I Trimestre'!C18+'II trimestre'!C18+'III Trimestre'!C18</f>
        <v>23995135456</v>
      </c>
      <c r="D18" s="13">
        <f>'I Trimestre'!D18+'II trimestre'!D18+'III Trimestre'!D18</f>
        <v>5862584905</v>
      </c>
      <c r="E18" s="13">
        <f>'I Trimestre'!E18+'II trimestre'!E18+'III Trimestre'!E18</f>
        <v>4447965131</v>
      </c>
      <c r="F18" s="13">
        <f>'I Trimestre'!F18+'II trimestre'!F18+'III Trimestre'!F18</f>
        <v>1414619774</v>
      </c>
      <c r="G18" s="13">
        <f>'I Trimestre'!G18+'II trimestre'!G18+'III Trimestre'!G18</f>
        <v>198663983</v>
      </c>
      <c r="H18" s="13">
        <f>'I Trimestre'!H18+'II trimestre'!H18+'III Trimestre'!H18</f>
        <v>370400272</v>
      </c>
    </row>
    <row r="19" spans="1:9" x14ac:dyDescent="0.25">
      <c r="A19" s="3" t="s">
        <v>12</v>
      </c>
      <c r="B19" s="4">
        <f>C19+D19+G19+H19</f>
        <v>40365257882</v>
      </c>
      <c r="C19" s="4">
        <v>31877544708</v>
      </c>
      <c r="D19" s="4">
        <f>E19+F19</f>
        <v>7755359677</v>
      </c>
      <c r="E19" s="4">
        <v>5873541129</v>
      </c>
      <c r="F19" s="4">
        <v>1881818548</v>
      </c>
      <c r="G19" s="4">
        <v>263401227</v>
      </c>
      <c r="H19" s="4">
        <v>468952270</v>
      </c>
      <c r="I19" s="6"/>
    </row>
    <row r="20" spans="1:9" x14ac:dyDescent="0.25">
      <c r="A20" s="3" t="s">
        <v>111</v>
      </c>
      <c r="B20" s="13">
        <f>B18</f>
        <v>30426784616</v>
      </c>
      <c r="C20" s="13">
        <f t="shared" ref="C20:H20" si="0">C18</f>
        <v>23995135456</v>
      </c>
      <c r="D20" s="13">
        <f t="shared" si="0"/>
        <v>5862584905</v>
      </c>
      <c r="E20" s="13">
        <f t="shared" si="0"/>
        <v>4447965131</v>
      </c>
      <c r="F20" s="13">
        <f t="shared" si="0"/>
        <v>1414619774</v>
      </c>
      <c r="G20" s="13">
        <f t="shared" si="0"/>
        <v>198663983</v>
      </c>
      <c r="H20" s="13">
        <f t="shared" si="0"/>
        <v>370400272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15</v>
      </c>
      <c r="B22" s="4"/>
      <c r="C22" s="4"/>
      <c r="D22" s="4"/>
      <c r="E22" s="4"/>
      <c r="F22" s="4"/>
    </row>
    <row r="23" spans="1:9" x14ac:dyDescent="0.25">
      <c r="A23" s="3" t="s">
        <v>109</v>
      </c>
      <c r="B23" s="13">
        <f>'I Trimestre'!B23+'II trimestre'!B23+'III Trimestre'!B23</f>
        <v>30619814460.166641</v>
      </c>
      <c r="I23" s="11"/>
    </row>
    <row r="24" spans="1:9" x14ac:dyDescent="0.25">
      <c r="A24" s="3" t="s">
        <v>110</v>
      </c>
      <c r="B24" s="13">
        <f>'I Trimestre'!B24+'II trimestre'!B24+'III Trimestre'!B24</f>
        <v>26366003008.260002</v>
      </c>
    </row>
    <row r="26" spans="1:9" x14ac:dyDescent="0.25">
      <c r="A26" t="s">
        <v>16</v>
      </c>
    </row>
    <row r="27" spans="1:9" x14ac:dyDescent="0.25">
      <c r="A27" s="3" t="s">
        <v>112</v>
      </c>
      <c r="B27" s="16">
        <v>1.3931300646666669</v>
      </c>
      <c r="C27" s="16">
        <v>1.3931300646666669</v>
      </c>
      <c r="D27" s="16">
        <v>1.3931300646666669</v>
      </c>
      <c r="E27" s="16">
        <v>1.3931300646666669</v>
      </c>
      <c r="F27" s="16">
        <v>1.3931300646666669</v>
      </c>
      <c r="G27" s="16">
        <v>1.3931300646666669</v>
      </c>
      <c r="H27" s="16">
        <v>1.3931300646666669</v>
      </c>
    </row>
    <row r="28" spans="1:9" x14ac:dyDescent="0.25">
      <c r="A28" s="3" t="s">
        <v>113</v>
      </c>
      <c r="B28" s="11">
        <v>1.4617491794222224</v>
      </c>
      <c r="C28" s="11">
        <v>1.4617491794222224</v>
      </c>
      <c r="D28" s="11">
        <v>1.4617491794222224</v>
      </c>
      <c r="E28" s="11">
        <v>1.4617491794222224</v>
      </c>
      <c r="F28" s="11">
        <v>1.4617491794222224</v>
      </c>
      <c r="G28" s="11">
        <v>1.4617491794222224</v>
      </c>
      <c r="H28" s="11">
        <v>1.4617491794222224</v>
      </c>
    </row>
    <row r="29" spans="1:9" x14ac:dyDescent="0.25">
      <c r="A29" s="3" t="s">
        <v>19</v>
      </c>
      <c r="B29" s="4">
        <f>+C29+D29+G29+H29</f>
        <v>383178</v>
      </c>
      <c r="C29" s="4">
        <v>234572</v>
      </c>
      <c r="D29" s="4">
        <v>140620</v>
      </c>
      <c r="E29" s="17">
        <v>127792</v>
      </c>
      <c r="F29" s="17">
        <v>12828</v>
      </c>
      <c r="G29" s="4">
        <v>1392</v>
      </c>
      <c r="H29" s="4">
        <v>6594</v>
      </c>
    </row>
    <row r="31" spans="1:9" x14ac:dyDescent="0.25">
      <c r="A31" s="3" t="s">
        <v>20</v>
      </c>
    </row>
    <row r="32" spans="1:9" x14ac:dyDescent="0.25">
      <c r="A32" s="3" t="s">
        <v>114</v>
      </c>
      <c r="B32" s="6">
        <f>B16/B27</f>
        <v>21217185204.246346</v>
      </c>
      <c r="C32" s="6">
        <f t="shared" ref="C32:H32" si="1">C16/C27</f>
        <v>17157123684.180487</v>
      </c>
      <c r="D32" s="6">
        <f t="shared" ref="D32" si="2">D16/D27</f>
        <v>3738707015.9564219</v>
      </c>
      <c r="E32" s="6">
        <f t="shared" si="1"/>
        <v>2794747591.6561251</v>
      </c>
      <c r="F32" s="6">
        <f t="shared" si="1"/>
        <v>943959424.30029631</v>
      </c>
      <c r="G32" s="6">
        <f t="shared" si="1"/>
        <v>116245164.44076154</v>
      </c>
      <c r="H32" s="6">
        <f t="shared" si="1"/>
        <v>205109339.66867864</v>
      </c>
    </row>
    <row r="33" spans="1:8" x14ac:dyDescent="0.25">
      <c r="A33" s="3" t="s">
        <v>115</v>
      </c>
      <c r="B33" s="6">
        <f>B18/B28</f>
        <v>20815325258.48698</v>
      </c>
      <c r="C33" s="6">
        <f t="shared" ref="C33:H33" si="3">C18/C28</f>
        <v>16415357568.720802</v>
      </c>
      <c r="D33" s="6">
        <f t="shared" ref="D33" si="4">D18/D28</f>
        <v>4010664064.3487635</v>
      </c>
      <c r="E33" s="6">
        <f t="shared" si="3"/>
        <v>3042905851.1653299</v>
      </c>
      <c r="F33" s="6">
        <f t="shared" si="3"/>
        <v>967758213.18343341</v>
      </c>
      <c r="G33" s="6">
        <f t="shared" si="3"/>
        <v>135908393.72218758</v>
      </c>
      <c r="H33" s="6">
        <f t="shared" si="3"/>
        <v>253395231.69522566</v>
      </c>
    </row>
    <row r="34" spans="1:8" x14ac:dyDescent="0.25">
      <c r="A34" s="3" t="s">
        <v>116</v>
      </c>
      <c r="B34" s="6">
        <f>B32/B10</f>
        <v>34222.646403881357</v>
      </c>
      <c r="C34" s="6">
        <f t="shared" ref="C34:H34" si="5">C32/C10</f>
        <v>36312.683399395035</v>
      </c>
      <c r="D34" s="6">
        <f t="shared" ref="D34" si="6">D32/D10</f>
        <v>27460.909691746212</v>
      </c>
      <c r="E34" s="6">
        <f t="shared" si="5"/>
        <v>26563.577923427161</v>
      </c>
      <c r="F34" s="6">
        <f t="shared" si="5"/>
        <v>30512.557008053653</v>
      </c>
      <c r="G34" s="6">
        <f t="shared" si="5"/>
        <v>30241.896965346299</v>
      </c>
      <c r="H34" s="6">
        <f t="shared" si="5"/>
        <v>27341.723612379552</v>
      </c>
    </row>
    <row r="35" spans="1:8" x14ac:dyDescent="0.25">
      <c r="A35" s="3" t="s">
        <v>117</v>
      </c>
      <c r="B35" s="6">
        <f>B33/B12</f>
        <v>33658.717833080242</v>
      </c>
      <c r="C35" s="6">
        <f t="shared" ref="C35:H35" si="7">C33/C12</f>
        <v>34065.66357330091</v>
      </c>
      <c r="D35" s="6">
        <f t="shared" ref="D35" si="8">D33/D12</f>
        <v>32377.225580625021</v>
      </c>
      <c r="E35" s="6">
        <f t="shared" si="7"/>
        <v>32927.248884521985</v>
      </c>
      <c r="F35" s="6">
        <f t="shared" si="7"/>
        <v>30761.545237871374</v>
      </c>
      <c r="G35" s="6">
        <f t="shared" si="7"/>
        <v>35615.407159902403</v>
      </c>
      <c r="H35" s="6">
        <f t="shared" si="7"/>
        <v>28599.913283885515</v>
      </c>
    </row>
    <row r="37" spans="1:8" x14ac:dyDescent="0.25">
      <c r="A37" s="2" t="s">
        <v>25</v>
      </c>
    </row>
    <row r="39" spans="1:8" x14ac:dyDescent="0.25">
      <c r="A39" t="s">
        <v>26</v>
      </c>
    </row>
    <row r="40" spans="1:8" x14ac:dyDescent="0.25">
      <c r="A40" t="s">
        <v>27</v>
      </c>
      <c r="B40" s="7">
        <f>((B11)/B29)*100</f>
        <v>162.28436914436634</v>
      </c>
      <c r="C40" s="7">
        <f t="shared" ref="C40:H40" si="9">((C11)/C29)*100</f>
        <v>207.60363555752605</v>
      </c>
      <c r="D40" s="7">
        <f t="shared" si="9"/>
        <v>87.547290570331398</v>
      </c>
      <c r="E40" s="7">
        <f t="shared" si="9"/>
        <v>71.711061725303608</v>
      </c>
      <c r="F40" s="7">
        <f t="shared" si="9"/>
        <v>245.30714062987212</v>
      </c>
      <c r="G40" s="7">
        <f t="shared" si="9"/>
        <v>272.48563218390808</v>
      </c>
      <c r="H40" s="7">
        <f t="shared" si="9"/>
        <v>120.65514103730663</v>
      </c>
    </row>
    <row r="41" spans="1:8" x14ac:dyDescent="0.25">
      <c r="A41" t="s">
        <v>28</v>
      </c>
      <c r="B41" s="7">
        <f>((B12)/B29)*100</f>
        <v>161.39313843696664</v>
      </c>
      <c r="C41" s="7">
        <f t="shared" ref="C41:H41" si="10">((C12)/C29)*100</f>
        <v>205.42690517197278</v>
      </c>
      <c r="D41" s="7">
        <f t="shared" si="10"/>
        <v>88.090598776845397</v>
      </c>
      <c r="E41" s="7">
        <f t="shared" si="10"/>
        <v>72.315168398647799</v>
      </c>
      <c r="F41" s="7">
        <f t="shared" si="10"/>
        <v>245.24477705020269</v>
      </c>
      <c r="G41" s="7">
        <f t="shared" si="10"/>
        <v>274.13793103448273</v>
      </c>
      <c r="H41" s="7">
        <f t="shared" si="10"/>
        <v>134.36457385501973</v>
      </c>
    </row>
    <row r="43" spans="1:8" x14ac:dyDescent="0.25">
      <c r="A43" t="s">
        <v>29</v>
      </c>
    </row>
    <row r="44" spans="1:8" x14ac:dyDescent="0.25">
      <c r="A44" t="s">
        <v>30</v>
      </c>
      <c r="B44" s="7">
        <f>B12/B11*100</f>
        <v>99.450821596621637</v>
      </c>
      <c r="C44" s="7">
        <f t="shared" ref="C44:G44" si="11">C12/C11*100</f>
        <v>98.951496981395536</v>
      </c>
      <c r="D44" s="7">
        <f t="shared" ref="D44" si="12">D12/D11*100</f>
        <v>100.62058825918494</v>
      </c>
      <c r="E44" s="7">
        <f t="shared" si="11"/>
        <v>100.84241769513646</v>
      </c>
      <c r="F44" s="7">
        <f t="shared" si="11"/>
        <v>99.974577348417441</v>
      </c>
      <c r="G44" s="7">
        <f t="shared" si="11"/>
        <v>100.60638017400474</v>
      </c>
      <c r="H44" s="7">
        <f>H12/H11*100</f>
        <v>111.36249371543489</v>
      </c>
    </row>
    <row r="45" spans="1:8" x14ac:dyDescent="0.25">
      <c r="A45" t="s">
        <v>31</v>
      </c>
      <c r="B45" s="7">
        <f>B18/B17*100</f>
        <v>103.64563746700652</v>
      </c>
      <c r="C45" s="7">
        <f t="shared" ref="C45:G45" si="13">C18/C17*100</f>
        <v>103.50016462754732</v>
      </c>
      <c r="D45" s="7">
        <f t="shared" ref="D45" si="14">D18/D17*100</f>
        <v>103.94172005047808</v>
      </c>
      <c r="E45" s="7">
        <f t="shared" si="13"/>
        <v>104.12716827550797</v>
      </c>
      <c r="F45" s="7">
        <f t="shared" si="13"/>
        <v>103.36289815600223</v>
      </c>
      <c r="G45" s="7">
        <f t="shared" si="13"/>
        <v>103.7060380227462</v>
      </c>
      <c r="H45" s="7">
        <f>H18/H17*100</f>
        <v>108.60388286424116</v>
      </c>
    </row>
    <row r="46" spans="1:8" x14ac:dyDescent="0.25">
      <c r="A46" t="s">
        <v>32</v>
      </c>
      <c r="B46" s="7">
        <f>AVERAGE(B44:B45)</f>
        <v>101.54822953181409</v>
      </c>
      <c r="C46" s="7">
        <f t="shared" ref="C46:G46" si="15">AVERAGE(C44:C45)</f>
        <v>101.22583080447143</v>
      </c>
      <c r="D46" s="7">
        <f t="shared" ref="D46" si="16">AVERAGE(D44:D45)</f>
        <v>102.28115415483151</v>
      </c>
      <c r="E46" s="7">
        <f t="shared" si="15"/>
        <v>102.48479298532222</v>
      </c>
      <c r="F46" s="7">
        <f t="shared" si="15"/>
        <v>101.66873775220984</v>
      </c>
      <c r="G46" s="7">
        <f t="shared" si="15"/>
        <v>102.15620909837547</v>
      </c>
      <c r="H46" s="7">
        <f>AVERAGE(H44:H45)</f>
        <v>109.98318828983803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33</v>
      </c>
    </row>
    <row r="49" spans="1:8" x14ac:dyDescent="0.25">
      <c r="A49" t="s">
        <v>34</v>
      </c>
      <c r="B49" s="7">
        <f>B12/(B13)*100</f>
        <v>99.450821596621637</v>
      </c>
      <c r="C49" s="7">
        <f t="shared" ref="C49:H49" si="17">C12/(C13)*100</f>
        <v>98.951496981395536</v>
      </c>
      <c r="D49" s="7">
        <f t="shared" si="17"/>
        <v>100.62058825918494</v>
      </c>
      <c r="E49" s="7">
        <f t="shared" si="17"/>
        <v>100.84241769513646</v>
      </c>
      <c r="F49" s="7">
        <f t="shared" si="17"/>
        <v>99.974577348417441</v>
      </c>
      <c r="G49" s="7">
        <f t="shared" si="17"/>
        <v>100.60638017400474</v>
      </c>
      <c r="H49" s="7">
        <f t="shared" si="17"/>
        <v>111.36249371543489</v>
      </c>
    </row>
    <row r="50" spans="1:8" x14ac:dyDescent="0.25">
      <c r="A50" t="s">
        <v>35</v>
      </c>
      <c r="B50" s="7">
        <f>B18/B19*100</f>
        <v>75.378645430550208</v>
      </c>
      <c r="C50" s="7">
        <f t="shared" ref="C50:H50" si="18">C18/C19*100</f>
        <v>75.272847001852597</v>
      </c>
      <c r="D50" s="7">
        <f t="shared" si="18"/>
        <v>75.5939782185295</v>
      </c>
      <c r="E50" s="7">
        <f t="shared" si="18"/>
        <v>75.728849654914882</v>
      </c>
      <c r="F50" s="7">
        <f t="shared" si="18"/>
        <v>75.173016840728906</v>
      </c>
      <c r="G50" s="7">
        <f t="shared" si="18"/>
        <v>75.422573107451768</v>
      </c>
      <c r="H50" s="7">
        <f t="shared" si="18"/>
        <v>78.984642083084495</v>
      </c>
    </row>
    <row r="51" spans="1:8" x14ac:dyDescent="0.25">
      <c r="A51" t="s">
        <v>36</v>
      </c>
      <c r="B51" s="7">
        <f>(B49+B50)/2</f>
        <v>87.414733513585929</v>
      </c>
      <c r="C51" s="7">
        <f t="shared" ref="C51:H51" si="19">(C49+C50)/2</f>
        <v>87.112171991624066</v>
      </c>
      <c r="D51" s="7">
        <f t="shared" si="19"/>
        <v>88.107283238857221</v>
      </c>
      <c r="E51" s="7">
        <f t="shared" si="19"/>
        <v>88.285633675025679</v>
      </c>
      <c r="F51" s="7">
        <f t="shared" si="19"/>
        <v>87.573797094573166</v>
      </c>
      <c r="G51" s="7">
        <f t="shared" si="19"/>
        <v>88.014476640728248</v>
      </c>
      <c r="H51" s="7">
        <f t="shared" si="19"/>
        <v>95.173567899259695</v>
      </c>
    </row>
    <row r="53" spans="1:8" x14ac:dyDescent="0.25">
      <c r="A53" t="s">
        <v>93</v>
      </c>
    </row>
    <row r="54" spans="1:8" x14ac:dyDescent="0.25">
      <c r="A54" t="s">
        <v>37</v>
      </c>
      <c r="B54" s="20">
        <f>(B20/B18)*100</f>
        <v>100</v>
      </c>
      <c r="C54" s="7"/>
      <c r="D54" s="7"/>
      <c r="E54" s="7"/>
      <c r="F54" s="7"/>
      <c r="G54" s="7"/>
      <c r="H54" s="7"/>
    </row>
    <row r="56" spans="1:8" x14ac:dyDescent="0.25">
      <c r="A56" t="s">
        <v>38</v>
      </c>
    </row>
    <row r="57" spans="1:8" x14ac:dyDescent="0.25">
      <c r="A57" t="s">
        <v>39</v>
      </c>
      <c r="B57" s="7">
        <f>((B12/B10)-1)*100</f>
        <v>-0.25033267470462306</v>
      </c>
      <c r="C57" s="7">
        <f t="shared" ref="C57:H57" si="20">((C12/C10)-1)*100</f>
        <v>1.9875960708613638</v>
      </c>
      <c r="D57" s="7">
        <f t="shared" si="20"/>
        <v>-9.0149281094315086</v>
      </c>
      <c r="E57" s="7">
        <f t="shared" si="20"/>
        <v>-12.163090006171718</v>
      </c>
      <c r="F57" s="7">
        <f t="shared" si="20"/>
        <v>1.691345916155873</v>
      </c>
      <c r="G57" s="7">
        <f t="shared" si="20"/>
        <v>-0.72440486023759298</v>
      </c>
      <c r="H57" s="7">
        <f t="shared" si="20"/>
        <v>18.106601872442884</v>
      </c>
    </row>
    <row r="58" spans="1:8" x14ac:dyDescent="0.25">
      <c r="A58" t="s">
        <v>40</v>
      </c>
      <c r="B58" s="7">
        <f>((B33/B32)-1)*100</f>
        <v>-1.8940304375480443</v>
      </c>
      <c r="C58" s="7">
        <f t="shared" ref="C58:H58" si="21">((C33/C32)-1)*100</f>
        <v>-4.3233710330107371</v>
      </c>
      <c r="D58" s="7">
        <f t="shared" si="21"/>
        <v>7.2740936166342252</v>
      </c>
      <c r="E58" s="7">
        <f t="shared" si="21"/>
        <v>8.8794515916247754</v>
      </c>
      <c r="F58" s="7">
        <f t="shared" si="21"/>
        <v>2.5211665110264514</v>
      </c>
      <c r="G58" s="7">
        <f t="shared" si="21"/>
        <v>16.915309446223393</v>
      </c>
      <c r="H58" s="7">
        <f t="shared" si="21"/>
        <v>23.541537457311868</v>
      </c>
    </row>
    <row r="59" spans="1:8" x14ac:dyDescent="0.25">
      <c r="A59" t="s">
        <v>41</v>
      </c>
      <c r="B59" s="7">
        <f>((B35/B34)-1)*100</f>
        <v>-1.6478228017373864</v>
      </c>
      <c r="C59" s="7">
        <f t="shared" ref="C59:H59" si="22">((C35/C34)-1)*100</f>
        <v>-6.1879751528678302</v>
      </c>
      <c r="D59" s="7">
        <f t="shared" si="22"/>
        <v>17.902960768836017</v>
      </c>
      <c r="E59" s="7">
        <f t="shared" si="22"/>
        <v>23.956377335308154</v>
      </c>
      <c r="F59" s="7">
        <f t="shared" si="22"/>
        <v>0.81601889265459082</v>
      </c>
      <c r="G59" s="7">
        <f t="shared" si="22"/>
        <v>17.768429674611763</v>
      </c>
      <c r="H59" s="7">
        <f t="shared" si="22"/>
        <v>4.6017203938682583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42</v>
      </c>
    </row>
    <row r="62" spans="1:8" x14ac:dyDescent="0.25">
      <c r="A62" t="s">
        <v>128</v>
      </c>
      <c r="B62" s="4">
        <f>B17/(B11*9)</f>
        <v>5245.4803675035573</v>
      </c>
      <c r="C62" s="4">
        <f t="shared" ref="C62:H62" si="23">C17/(C11*9)</f>
        <v>5289.669408861294</v>
      </c>
      <c r="D62" s="4">
        <f t="shared" si="23"/>
        <v>5090.5760868396892</v>
      </c>
      <c r="E62" s="4">
        <f t="shared" si="23"/>
        <v>5179.2274874981513</v>
      </c>
      <c r="F62" s="4">
        <f t="shared" si="23"/>
        <v>4832.4057866063713</v>
      </c>
      <c r="G62" s="4">
        <f t="shared" si="23"/>
        <v>5611.6392397478594</v>
      </c>
      <c r="H62" s="4">
        <f t="shared" si="23"/>
        <v>4763.0886034807609</v>
      </c>
    </row>
    <row r="63" spans="1:8" x14ac:dyDescent="0.25">
      <c r="A63" t="s">
        <v>129</v>
      </c>
      <c r="B63" s="4">
        <f>B18/(B12*9)</f>
        <v>5466.7336858787949</v>
      </c>
      <c r="C63" s="4">
        <f t="shared" ref="C63:H63" si="24">C18/(C12*9)</f>
        <v>5532.8284194162325</v>
      </c>
      <c r="D63" s="4">
        <f t="shared" si="24"/>
        <v>5258.5981027163125</v>
      </c>
      <c r="E63" s="4">
        <f t="shared" si="24"/>
        <v>5347.9310041756989</v>
      </c>
      <c r="F63" s="4">
        <f t="shared" si="24"/>
        <v>4996.1848343575621</v>
      </c>
      <c r="G63" s="4">
        <f t="shared" si="24"/>
        <v>5784.5324656417424</v>
      </c>
      <c r="H63" s="4">
        <f t="shared" si="24"/>
        <v>4645.0999749184848</v>
      </c>
    </row>
    <row r="64" spans="1:8" x14ac:dyDescent="0.25">
      <c r="A64" t="s">
        <v>43</v>
      </c>
      <c r="B64" s="10">
        <f>(B62/B63)*B46</f>
        <v>97.438301364454972</v>
      </c>
      <c r="C64" s="10">
        <f t="shared" ref="C64:F64" si="25">(C62/C63)*C46</f>
        <v>96.777116513126415</v>
      </c>
      <c r="D64" s="10">
        <f t="shared" ref="D64" si="26">(D62/D63)*D46</f>
        <v>99.013080540610005</v>
      </c>
      <c r="E64" s="10">
        <f t="shared" si="25"/>
        <v>99.251852064974784</v>
      </c>
      <c r="F64" s="10">
        <f t="shared" si="25"/>
        <v>98.335952915945143</v>
      </c>
      <c r="G64" s="10">
        <f>(G62/G63)*G46</f>
        <v>99.102873908191043</v>
      </c>
      <c r="H64" s="10">
        <f t="shared" ref="H64" si="27">(H62/H63)*H46</f>
        <v>112.77683441614175</v>
      </c>
    </row>
    <row r="65" spans="1:8" x14ac:dyDescent="0.25">
      <c r="A65" t="s">
        <v>130</v>
      </c>
      <c r="B65" s="4">
        <f>B17/B11</f>
        <v>47209.323307532017</v>
      </c>
      <c r="C65" s="4">
        <f t="shared" ref="C65:H65" si="28">C17/C11</f>
        <v>47607.024679751645</v>
      </c>
      <c r="D65" s="4">
        <f t="shared" si="28"/>
        <v>45815.184781557204</v>
      </c>
      <c r="E65" s="4">
        <f t="shared" si="28"/>
        <v>46613.047387483362</v>
      </c>
      <c r="F65" s="4">
        <f t="shared" si="28"/>
        <v>43491.652079457337</v>
      </c>
      <c r="G65" s="4">
        <f t="shared" si="28"/>
        <v>50504.753157730738</v>
      </c>
      <c r="H65" s="4">
        <f t="shared" si="28"/>
        <v>42867.797431326842</v>
      </c>
    </row>
    <row r="66" spans="1:8" x14ac:dyDescent="0.25">
      <c r="A66" t="s">
        <v>131</v>
      </c>
      <c r="B66" s="4">
        <f>B18/B12</f>
        <v>49200.603172909156</v>
      </c>
      <c r="C66" s="4">
        <f t="shared" ref="C66:H66" si="29">C18/C12</f>
        <v>49795.455774746093</v>
      </c>
      <c r="D66" s="4">
        <f t="shared" si="29"/>
        <v>47327.382924446814</v>
      </c>
      <c r="E66" s="4">
        <f t="shared" si="29"/>
        <v>48131.37903758129</v>
      </c>
      <c r="F66" s="4">
        <f t="shared" si="29"/>
        <v>44965.663509218051</v>
      </c>
      <c r="G66" s="4">
        <f t="shared" si="29"/>
        <v>52060.792190775683</v>
      </c>
      <c r="H66" s="4">
        <f t="shared" si="29"/>
        <v>41805.899774266363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44</v>
      </c>
      <c r="B68" s="7"/>
      <c r="C68" s="7"/>
      <c r="D68" s="7"/>
      <c r="E68" s="7"/>
      <c r="F68" s="7"/>
    </row>
    <row r="69" spans="1:8" x14ac:dyDescent="0.25">
      <c r="A69" t="s">
        <v>45</v>
      </c>
      <c r="B69" s="8">
        <f>(B24/B23)*100</f>
        <v>86.107651117741341</v>
      </c>
      <c r="C69" s="7"/>
      <c r="D69" s="7"/>
      <c r="E69" s="7"/>
      <c r="F69" s="7"/>
      <c r="G69" s="7"/>
      <c r="H69" s="7"/>
    </row>
    <row r="70" spans="1:8" x14ac:dyDescent="0.25">
      <c r="A70" t="s">
        <v>46</v>
      </c>
      <c r="B70" s="8">
        <f>(B18/B24)*100</f>
        <v>115.40158213009317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58</v>
      </c>
    </row>
    <row r="74" spans="1:8" x14ac:dyDescent="0.25">
      <c r="A74" t="s">
        <v>118</v>
      </c>
    </row>
    <row r="75" spans="1:8" x14ac:dyDescent="0.25">
      <c r="A75" t="s">
        <v>119</v>
      </c>
      <c r="B75" s="10"/>
      <c r="C75" s="10"/>
      <c r="D75" s="10"/>
      <c r="E75" s="10"/>
    </row>
    <row r="76" spans="1:8" x14ac:dyDescent="0.25">
      <c r="A76" t="s">
        <v>59</v>
      </c>
    </row>
    <row r="77" spans="1:8" x14ac:dyDescent="0.25">
      <c r="A77" t="s">
        <v>120</v>
      </c>
    </row>
    <row r="79" spans="1:8" x14ac:dyDescent="0.25">
      <c r="A79" t="s">
        <v>121</v>
      </c>
    </row>
    <row r="80" spans="1:8" x14ac:dyDescent="0.25">
      <c r="A80" s="18" t="s">
        <v>122</v>
      </c>
    </row>
    <row r="81" spans="1:1" x14ac:dyDescent="0.25">
      <c r="A81" s="18" t="s">
        <v>123</v>
      </c>
    </row>
    <row r="82" spans="1:1" x14ac:dyDescent="0.25">
      <c r="A82" s="18" t="s">
        <v>124</v>
      </c>
    </row>
    <row r="83" spans="1:1" x14ac:dyDescent="0.25">
      <c r="A83" s="18" t="s">
        <v>125</v>
      </c>
    </row>
    <row r="84" spans="1:1" x14ac:dyDescent="0.25">
      <c r="A84" s="19" t="s">
        <v>126</v>
      </c>
    </row>
  </sheetData>
  <mergeCells count="4">
    <mergeCell ref="A2:H2"/>
    <mergeCell ref="A4:A5"/>
    <mergeCell ref="B4:B5"/>
    <mergeCell ref="C4:H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84"/>
  <sheetViews>
    <sheetView tabSelected="1" zoomScaleNormal="100" workbookViewId="0"/>
  </sheetViews>
  <sheetFormatPr baseColWidth="10" defaultRowHeight="15" x14ac:dyDescent="0.25"/>
  <cols>
    <col min="1" max="1" width="55.140625" style="20" customWidth="1"/>
    <col min="2" max="3" width="17.85546875" style="20" bestFit="1" customWidth="1"/>
    <col min="4" max="4" width="16.42578125" style="20" customWidth="1"/>
    <col min="5" max="5" width="16.85546875" style="20" bestFit="1" customWidth="1"/>
    <col min="6" max="6" width="15.28515625" style="20" customWidth="1"/>
    <col min="7" max="7" width="16" style="20" customWidth="1"/>
    <col min="8" max="8" width="14.5703125" style="20" customWidth="1"/>
    <col min="9" max="9" width="17.85546875" style="20" bestFit="1" customWidth="1"/>
    <col min="10" max="16384" width="11.42578125" style="20"/>
  </cols>
  <sheetData>
    <row r="2" spans="1:8" ht="15.75" x14ac:dyDescent="0.25">
      <c r="A2" s="37" t="s">
        <v>82</v>
      </c>
      <c r="B2" s="37"/>
      <c r="C2" s="37"/>
      <c r="D2" s="37"/>
      <c r="E2" s="37"/>
      <c r="F2" s="37"/>
      <c r="G2" s="37"/>
      <c r="H2" s="37"/>
    </row>
    <row r="4" spans="1:8" x14ac:dyDescent="0.25">
      <c r="A4" s="34" t="s">
        <v>1</v>
      </c>
      <c r="B4" s="33"/>
      <c r="C4" s="36" t="s">
        <v>3</v>
      </c>
      <c r="D4" s="36"/>
      <c r="E4" s="36"/>
      <c r="F4" s="36"/>
      <c r="G4" s="36"/>
      <c r="H4" s="36"/>
    </row>
    <row r="5" spans="1:8" ht="15.75" thickBot="1" x14ac:dyDescent="0.3">
      <c r="A5" s="35"/>
      <c r="B5" s="23" t="s">
        <v>2</v>
      </c>
      <c r="C5" s="23" t="s">
        <v>4</v>
      </c>
      <c r="D5" s="23" t="s">
        <v>94</v>
      </c>
      <c r="E5" s="23" t="s">
        <v>95</v>
      </c>
      <c r="F5" s="23" t="s">
        <v>96</v>
      </c>
      <c r="G5" s="23" t="s">
        <v>5</v>
      </c>
      <c r="H5" s="23" t="s">
        <v>6</v>
      </c>
    </row>
    <row r="6" spans="1:8" ht="15.75" thickTop="1" x14ac:dyDescent="0.25"/>
    <row r="7" spans="1:8" x14ac:dyDescent="0.25">
      <c r="A7" s="24" t="s">
        <v>7</v>
      </c>
    </row>
    <row r="9" spans="1:8" x14ac:dyDescent="0.25">
      <c r="A9" s="20" t="s">
        <v>8</v>
      </c>
    </row>
    <row r="10" spans="1:8" x14ac:dyDescent="0.25">
      <c r="A10" s="25" t="s">
        <v>83</v>
      </c>
      <c r="B10" s="26">
        <f>('I Trimestre'!B10+'II trimestre'!B10+'III Trimestre'!B10+'IV Trimestre'!B10)/4</f>
        <v>619975</v>
      </c>
      <c r="C10" s="26">
        <f>('I Trimestre'!C10+'II trimestre'!C10+'III Trimestre'!C10+'IV Trimestre'!C10)/4</f>
        <v>472482.94750000001</v>
      </c>
      <c r="D10" s="26">
        <f>('I Trimestre'!D10+'II trimestre'!D10+'III Trimestre'!D10+'IV Trimestre'!D10)/4</f>
        <v>136146.50999999998</v>
      </c>
      <c r="E10" s="26">
        <f>('I Trimestre'!E10+'II trimestre'!E10+'III Trimestre'!E10+'IV Trimestre'!E10)/4</f>
        <v>105209.75749999999</v>
      </c>
      <c r="F10" s="26">
        <f>('I Trimestre'!F10+'II trimestre'!F10+'III Trimestre'!F10+'IV Trimestre'!F10)/4</f>
        <v>30936.752499999999</v>
      </c>
      <c r="G10" s="26">
        <f>('I Trimestre'!G10+'II trimestre'!G10+'III Trimestre'!G10+'IV Trimestre'!G10)/4</f>
        <v>3843.8449999999998</v>
      </c>
      <c r="H10" s="26">
        <f>('I Trimestre'!H10+'II trimestre'!H10+'III Trimestre'!H10+'IV Trimestre'!H10)/4</f>
        <v>7501.6975000000002</v>
      </c>
    </row>
    <row r="11" spans="1:8" x14ac:dyDescent="0.25">
      <c r="A11" s="25" t="s">
        <v>84</v>
      </c>
      <c r="B11" s="26">
        <f>('I Trimestre'!B11+'II trimestre'!B11+'III Trimestre'!B11+'IV Trimestre'!B11)/4</f>
        <v>621838</v>
      </c>
      <c r="C11" s="26">
        <f>('I Trimestre'!C11+'II trimestre'!C11+'III Trimestre'!C11+'IV Trimestre'!C11)/4</f>
        <v>486980</v>
      </c>
      <c r="D11" s="26">
        <f>('I Trimestre'!D11+'II trimestre'!D11+'III Trimestre'!D11+'IV Trimestre'!D11)/4</f>
        <v>123109</v>
      </c>
      <c r="E11" s="26">
        <f>('I Trimestre'!E11+'II trimestre'!E11+'III Trimestre'!E11+'IV Trimestre'!E11)/4</f>
        <v>91641</v>
      </c>
      <c r="F11" s="26">
        <f>('I Trimestre'!F11+'II trimestre'!F11+'III Trimestre'!F11+'IV Trimestre'!F11)/4</f>
        <v>31468</v>
      </c>
      <c r="G11" s="26">
        <f>('I Trimestre'!G11+'II trimestre'!G11+'III Trimestre'!G11+'IV Trimestre'!G11)/4</f>
        <v>3793</v>
      </c>
      <c r="H11" s="26">
        <f>('I Trimestre'!H11+'II trimestre'!H11+'III Trimestre'!H11+'IV Trimestre'!H11)/4</f>
        <v>7956</v>
      </c>
    </row>
    <row r="12" spans="1:8" x14ac:dyDescent="0.25">
      <c r="A12" s="25" t="s">
        <v>85</v>
      </c>
      <c r="B12" s="26">
        <f>('I Trimestre'!B12+'II trimestre'!B12+'III Trimestre'!B12+'IV Trimestre'!B12)/4</f>
        <v>616263.75</v>
      </c>
      <c r="C12" s="26">
        <f>('I Trimestre'!C12+'II trimestre'!C12+'III Trimestre'!C12+'IV Trimestre'!C12)/4</f>
        <v>479464</v>
      </c>
      <c r="D12" s="26">
        <f>('I Trimestre'!D12+'II trimestre'!D12+'III Trimestre'!D12+'IV Trimestre'!D12)/4</f>
        <v>123978</v>
      </c>
      <c r="E12" s="26">
        <f>('I Trimestre'!E12+'II trimestre'!E12+'III Trimestre'!E12+'IV Trimestre'!E12)/4</f>
        <v>92522</v>
      </c>
      <c r="F12" s="26">
        <f>('I Trimestre'!F12+'II trimestre'!F12+'III Trimestre'!F12+'IV Trimestre'!F12)/4</f>
        <v>31456</v>
      </c>
      <c r="G12" s="26">
        <f>('I Trimestre'!G12+'II trimestre'!G12+'III Trimestre'!G12+'IV Trimestre'!G12)/4</f>
        <v>3827.5</v>
      </c>
      <c r="H12" s="26">
        <f>('I Trimestre'!H12+'II trimestre'!H12+'III Trimestre'!H12+'IV Trimestre'!H12)/4</f>
        <v>8994.25</v>
      </c>
    </row>
    <row r="13" spans="1:8" x14ac:dyDescent="0.25">
      <c r="A13" s="25" t="s">
        <v>12</v>
      </c>
      <c r="B13" s="26">
        <f>('I Trimestre'!B13+'II trimestre'!B13+'III Trimestre'!B13+'IV Trimestre'!B13)/4</f>
        <v>621838</v>
      </c>
      <c r="C13" s="26">
        <f>('I Trimestre'!C13+'II trimestre'!C13+'III Trimestre'!C13+'IV Trimestre'!C13)/4</f>
        <v>486980</v>
      </c>
      <c r="D13" s="26">
        <f>('I Trimestre'!D13+'II trimestre'!D13+'III Trimestre'!D13+'IV Trimestre'!D13)/4</f>
        <v>123109</v>
      </c>
      <c r="E13" s="26">
        <f>('I Trimestre'!E13+'II trimestre'!E13+'III Trimestre'!E13+'IV Trimestre'!E13)/4</f>
        <v>91641</v>
      </c>
      <c r="F13" s="26">
        <f>('I Trimestre'!F13+'II trimestre'!F13+'III Trimestre'!F13+'IV Trimestre'!F13)/4</f>
        <v>31468</v>
      </c>
      <c r="G13" s="26">
        <f>('I Trimestre'!G13+'II trimestre'!G13+'III Trimestre'!G13+'IV Trimestre'!G13)/4</f>
        <v>3793</v>
      </c>
      <c r="H13" s="26">
        <f>('I Trimestre'!H13+'II trimestre'!H13+'III Trimestre'!H13+'IV Trimestre'!H13)/4</f>
        <v>7956</v>
      </c>
    </row>
    <row r="15" spans="1:8" x14ac:dyDescent="0.25">
      <c r="A15" s="27" t="s">
        <v>13</v>
      </c>
    </row>
    <row r="16" spans="1:8" x14ac:dyDescent="0.25">
      <c r="A16" s="25" t="s">
        <v>9</v>
      </c>
      <c r="B16" s="26">
        <f>'I Trimestre'!B16+'II trimestre'!B16+'III Trimestre'!B16+'IV Trimestre'!B16</f>
        <v>40642660568.999992</v>
      </c>
      <c r="C16" s="26">
        <f>'I Trimestre'!C16+'II trimestre'!C16+'III Trimestre'!C16+'IV Trimestre'!C16</f>
        <v>32865394138</v>
      </c>
      <c r="D16" s="26">
        <f>'I Trimestre'!D16+'II trimestre'!D16+'III Trimestre'!D16+'IV Trimestre'!D16</f>
        <v>7161694577</v>
      </c>
      <c r="E16" s="26">
        <f>'I Trimestre'!E16+'II trimestre'!E16+'III Trimestre'!E16+'IV Trimestre'!E16</f>
        <v>5353489478</v>
      </c>
      <c r="F16" s="26">
        <f>'I Trimestre'!F16+'II trimestre'!F16+'III Trimestre'!F16+'IV Trimestre'!F16</f>
        <v>1808205098.9999995</v>
      </c>
      <c r="G16" s="26">
        <f>'I Trimestre'!G16+'II trimestre'!G16+'III Trimestre'!G16+'IV Trimestre'!G16</f>
        <v>222673871</v>
      </c>
      <c r="H16" s="26">
        <f>'I Trimestre'!H16+'II trimestre'!H16+'III Trimestre'!H16+'IV Trimestre'!H16</f>
        <v>392897983</v>
      </c>
    </row>
    <row r="17" spans="1:8" x14ac:dyDescent="0.25">
      <c r="A17" s="25" t="s">
        <v>84</v>
      </c>
      <c r="B17" s="26">
        <f>'I Trimestre'!B17+'II trimestre'!B17+'III Trimestre'!B17+'IV Trimestre'!B17</f>
        <v>40365257882.000008</v>
      </c>
      <c r="C17" s="26">
        <f>'I Trimestre'!C17+'II trimestre'!C17+'III Trimestre'!C17+'IV Trimestre'!C17</f>
        <v>31877544708</v>
      </c>
      <c r="D17" s="26">
        <f>'I Trimestre'!D17+'II trimestre'!D17+'III Trimestre'!D17+'IV Trimestre'!D17</f>
        <v>7755359676.9999981</v>
      </c>
      <c r="E17" s="26">
        <f>'I Trimestre'!E17+'II trimestre'!E17+'III Trimestre'!E17+'IV Trimestre'!E17</f>
        <v>5873541128.999999</v>
      </c>
      <c r="F17" s="26">
        <f>'I Trimestre'!F17+'II trimestre'!F17+'III Trimestre'!F17+'IV Trimestre'!F17</f>
        <v>1881818548</v>
      </c>
      <c r="G17" s="26">
        <f>'I Trimestre'!G17+'II trimestre'!G17+'III Trimestre'!G17+'IV Trimestre'!G17</f>
        <v>263401226.99999994</v>
      </c>
      <c r="H17" s="26">
        <f>'I Trimestre'!H17+'II trimestre'!H17+'III Trimestre'!H17+'IV Trimestre'!H17</f>
        <v>468952270</v>
      </c>
    </row>
    <row r="18" spans="1:8" x14ac:dyDescent="0.25">
      <c r="A18" s="25" t="s">
        <v>85</v>
      </c>
      <c r="B18" s="26">
        <f>'I Trimestre'!B18+'II trimestre'!B18+'III Trimestre'!B18+'IV Trimestre'!B18</f>
        <v>40928072008</v>
      </c>
      <c r="C18" s="26">
        <f>'I Trimestre'!C18+'II trimestre'!C18+'III Trimestre'!C18+'IV Trimestre'!C18</f>
        <v>32233951933</v>
      </c>
      <c r="D18" s="26">
        <f>'I Trimestre'!D18+'II trimestre'!D18+'III Trimestre'!D18+'IV Trimestre'!D18</f>
        <v>7911498355</v>
      </c>
      <c r="E18" s="26">
        <f>'I Trimestre'!E18+'II trimestre'!E18+'III Trimestre'!E18+'IV Trimestre'!E18</f>
        <v>6005913746</v>
      </c>
      <c r="F18" s="26">
        <f>'I Trimestre'!F18+'II trimestre'!F18+'III Trimestre'!F18+'IV Trimestre'!F18</f>
        <v>1905584609</v>
      </c>
      <c r="G18" s="26">
        <f>'I Trimestre'!G18+'II trimestre'!G18+'III Trimestre'!G18+'IV Trimestre'!G18</f>
        <v>267831641</v>
      </c>
      <c r="H18" s="26">
        <f>'I Trimestre'!H18+'II trimestre'!H18+'III Trimestre'!H18+'IV Trimestre'!H18</f>
        <v>514790079</v>
      </c>
    </row>
    <row r="19" spans="1:8" x14ac:dyDescent="0.25">
      <c r="A19" s="25" t="s">
        <v>12</v>
      </c>
      <c r="B19" s="26">
        <f>C19+D19+G19+H19</f>
        <v>40365257882</v>
      </c>
      <c r="C19" s="20">
        <v>31877544708</v>
      </c>
      <c r="D19" s="20">
        <f>E19+F19</f>
        <v>7755359677</v>
      </c>
      <c r="E19" s="20">
        <v>5873541129</v>
      </c>
      <c r="F19" s="20">
        <v>1881818548</v>
      </c>
      <c r="G19" s="20">
        <v>263401227</v>
      </c>
      <c r="H19" s="20">
        <v>468952270</v>
      </c>
    </row>
    <row r="20" spans="1:8" x14ac:dyDescent="0.25">
      <c r="A20" s="25" t="s">
        <v>86</v>
      </c>
      <c r="B20" s="26">
        <f>B18</f>
        <v>40928072008</v>
      </c>
      <c r="C20" s="26">
        <f t="shared" ref="C20:H20" si="0">C18</f>
        <v>32233951933</v>
      </c>
      <c r="D20" s="26">
        <f t="shared" si="0"/>
        <v>7911498355</v>
      </c>
      <c r="E20" s="26">
        <f t="shared" si="0"/>
        <v>6005913746</v>
      </c>
      <c r="F20" s="26">
        <f t="shared" si="0"/>
        <v>1905584609</v>
      </c>
      <c r="G20" s="26">
        <f t="shared" si="0"/>
        <v>267831641</v>
      </c>
      <c r="H20" s="26">
        <f t="shared" si="0"/>
        <v>514790079</v>
      </c>
    </row>
    <row r="22" spans="1:8" x14ac:dyDescent="0.25">
      <c r="A22" s="25" t="s">
        <v>15</v>
      </c>
    </row>
    <row r="23" spans="1:8" x14ac:dyDescent="0.25">
      <c r="A23" s="25" t="s">
        <v>84</v>
      </c>
      <c r="B23" s="26">
        <f>'I Trimestre'!B23+'II trimestre'!B23+'III Trimestre'!B23+'IV Trimestre'!B23</f>
        <v>40592830753.000008</v>
      </c>
    </row>
    <row r="24" spans="1:8" x14ac:dyDescent="0.25">
      <c r="A24" s="25" t="s">
        <v>85</v>
      </c>
      <c r="B24" s="26">
        <f>'I Trimestre'!B24+'II trimestre'!B24+'III Trimestre'!B24+'IV Trimestre'!B24</f>
        <v>38313506190</v>
      </c>
    </row>
    <row r="26" spans="1:8" x14ac:dyDescent="0.25">
      <c r="A26" s="20" t="s">
        <v>16</v>
      </c>
    </row>
    <row r="27" spans="1:8" x14ac:dyDescent="0.25">
      <c r="A27" s="25" t="s">
        <v>87</v>
      </c>
      <c r="B27" s="16">
        <v>1.4000346908083336</v>
      </c>
      <c r="C27" s="16">
        <v>1.4000346908083336</v>
      </c>
      <c r="D27" s="16">
        <v>1.4000346908083336</v>
      </c>
      <c r="E27" s="16">
        <v>1.4000346908083336</v>
      </c>
      <c r="F27" s="16">
        <v>1.4000346908083336</v>
      </c>
      <c r="G27" s="16">
        <v>1.4000346908083336</v>
      </c>
      <c r="H27" s="16">
        <v>1.4000346908083301</v>
      </c>
    </row>
    <row r="28" spans="1:8" x14ac:dyDescent="0.25">
      <c r="A28" s="25" t="s">
        <v>88</v>
      </c>
      <c r="B28" s="16">
        <v>1.4683304717083334</v>
      </c>
      <c r="C28" s="16">
        <v>1.4683304717083334</v>
      </c>
      <c r="D28" s="16">
        <v>1.4683304717083334</v>
      </c>
      <c r="E28" s="16">
        <v>1.4683304717083334</v>
      </c>
      <c r="F28" s="16">
        <v>1.4683304717083334</v>
      </c>
      <c r="G28" s="16">
        <v>1.4683304717083334</v>
      </c>
      <c r="H28" s="16">
        <v>1.4683304717083301</v>
      </c>
    </row>
    <row r="29" spans="1:8" x14ac:dyDescent="0.25">
      <c r="A29" s="25" t="s">
        <v>19</v>
      </c>
      <c r="B29" s="20">
        <f>+C29+D29+G29+H29</f>
        <v>383178</v>
      </c>
      <c r="C29" s="20">
        <v>234572</v>
      </c>
      <c r="D29" s="20">
        <v>140620</v>
      </c>
      <c r="E29" s="28">
        <v>127792</v>
      </c>
      <c r="F29" s="28">
        <v>12828</v>
      </c>
      <c r="G29" s="20">
        <v>1392</v>
      </c>
      <c r="H29" s="20">
        <v>6594</v>
      </c>
    </row>
    <row r="31" spans="1:8" x14ac:dyDescent="0.25">
      <c r="A31" s="25" t="s">
        <v>20</v>
      </c>
    </row>
    <row r="32" spans="1:8" x14ac:dyDescent="0.25">
      <c r="A32" s="25" t="s">
        <v>89</v>
      </c>
      <c r="B32" s="20">
        <f>B16/B27</f>
        <v>29029752502.442825</v>
      </c>
      <c r="C32" s="20">
        <f t="shared" ref="C32:H32" si="1">C16/C27</f>
        <v>23474699844.062157</v>
      </c>
      <c r="D32" s="20">
        <f t="shared" ref="D32" si="2">D16/D27</f>
        <v>5115369371.9296875</v>
      </c>
      <c r="E32" s="20">
        <f t="shared" si="1"/>
        <v>3823826304.5532627</v>
      </c>
      <c r="F32" s="20">
        <f t="shared" si="1"/>
        <v>1291543067.3764246</v>
      </c>
      <c r="G32" s="20">
        <f t="shared" si="1"/>
        <v>159048823.90552443</v>
      </c>
      <c r="H32" s="20">
        <f t="shared" si="1"/>
        <v>280634462.54546356</v>
      </c>
    </row>
    <row r="33" spans="1:8" x14ac:dyDescent="0.25">
      <c r="A33" s="25" t="s">
        <v>90</v>
      </c>
      <c r="B33" s="20">
        <f>B18/B28</f>
        <v>27873883159.546581</v>
      </c>
      <c r="C33" s="20">
        <f t="shared" ref="C33:H33" si="3">C18/C28</f>
        <v>21952790978.652996</v>
      </c>
      <c r="D33" s="20">
        <f t="shared" ref="D33" si="4">D18/D28</f>
        <v>5388091105.8089972</v>
      </c>
      <c r="E33" s="20">
        <f t="shared" si="3"/>
        <v>4090301101.6398792</v>
      </c>
      <c r="F33" s="20">
        <f t="shared" si="3"/>
        <v>1297790004.1691172</v>
      </c>
      <c r="G33" s="20">
        <f t="shared" si="3"/>
        <v>182405559.34822389</v>
      </c>
      <c r="H33" s="20">
        <f t="shared" si="3"/>
        <v>350595515.73636359</v>
      </c>
    </row>
    <row r="34" spans="1:8" x14ac:dyDescent="0.25">
      <c r="A34" s="25" t="s">
        <v>91</v>
      </c>
      <c r="B34" s="20">
        <f>B32/B10</f>
        <v>46824.069522872414</v>
      </c>
      <c r="C34" s="20">
        <f t="shared" ref="C34:H34" si="5">C32/C10</f>
        <v>49683.69751389209</v>
      </c>
      <c r="D34" s="20">
        <f t="shared" ref="D34" si="6">D32/D10</f>
        <v>37572.533970424127</v>
      </c>
      <c r="E34" s="20">
        <f t="shared" si="5"/>
        <v>36344.78774036964</v>
      </c>
      <c r="F34" s="20">
        <f t="shared" si="5"/>
        <v>41747.855317924033</v>
      </c>
      <c r="G34" s="20">
        <f t="shared" si="5"/>
        <v>41377.533148585448</v>
      </c>
      <c r="H34" s="20">
        <f t="shared" si="5"/>
        <v>37409.461331313818</v>
      </c>
    </row>
    <row r="35" spans="1:8" x14ac:dyDescent="0.25">
      <c r="A35" s="25" t="s">
        <v>92</v>
      </c>
      <c r="B35" s="20">
        <f>B33/B12</f>
        <v>45230.444204363121</v>
      </c>
      <c r="C35" s="20">
        <f t="shared" ref="C35:H35" si="7">C33/C12</f>
        <v>45786.1090272742</v>
      </c>
      <c r="D35" s="20">
        <f t="shared" ref="D35" si="8">D33/D12</f>
        <v>43460.058282993734</v>
      </c>
      <c r="E35" s="20">
        <f t="shared" si="7"/>
        <v>44208.95680637988</v>
      </c>
      <c r="F35" s="20">
        <f t="shared" si="7"/>
        <v>41257.311933148434</v>
      </c>
      <c r="G35" s="20">
        <f t="shared" si="7"/>
        <v>47656.579842775674</v>
      </c>
      <c r="H35" s="20">
        <f t="shared" si="7"/>
        <v>38979.961168120033</v>
      </c>
    </row>
    <row r="37" spans="1:8" x14ac:dyDescent="0.25">
      <c r="A37" s="24" t="s">
        <v>25</v>
      </c>
    </row>
    <row r="39" spans="1:8" x14ac:dyDescent="0.25">
      <c r="A39" s="20" t="s">
        <v>26</v>
      </c>
    </row>
    <row r="40" spans="1:8" x14ac:dyDescent="0.25">
      <c r="A40" s="20" t="s">
        <v>27</v>
      </c>
      <c r="B40" s="20">
        <f>((B11)/B29)*100</f>
        <v>162.28436914436634</v>
      </c>
      <c r="C40" s="20">
        <f t="shared" ref="C40:H40" si="9">((C11)/C29)*100</f>
        <v>207.60363555752605</v>
      </c>
      <c r="D40" s="20">
        <f t="shared" si="9"/>
        <v>87.547290570331398</v>
      </c>
      <c r="E40" s="20">
        <f t="shared" si="9"/>
        <v>71.711061725303608</v>
      </c>
      <c r="F40" s="20">
        <f t="shared" si="9"/>
        <v>245.30714062987212</v>
      </c>
      <c r="G40" s="20">
        <f t="shared" si="9"/>
        <v>272.48563218390808</v>
      </c>
      <c r="H40" s="20">
        <f t="shared" si="9"/>
        <v>120.65514103730663</v>
      </c>
    </row>
    <row r="41" spans="1:8" x14ac:dyDescent="0.25">
      <c r="A41" s="20" t="s">
        <v>28</v>
      </c>
      <c r="B41" s="20">
        <f>((B12)/B29)*100</f>
        <v>160.82962748383258</v>
      </c>
      <c r="C41" s="20">
        <f t="shared" ref="C41:H41" si="10">((C12)/C29)*100</f>
        <v>204.39950207185854</v>
      </c>
      <c r="D41" s="20">
        <f t="shared" si="10"/>
        <v>88.165268098421279</v>
      </c>
      <c r="E41" s="20">
        <f t="shared" si="10"/>
        <v>72.400463252785769</v>
      </c>
      <c r="F41" s="20">
        <f t="shared" si="10"/>
        <v>245.21359526036798</v>
      </c>
      <c r="G41" s="20">
        <f t="shared" si="10"/>
        <v>274.96408045977012</v>
      </c>
      <c r="H41" s="20">
        <f t="shared" si="10"/>
        <v>136.40051562026085</v>
      </c>
    </row>
    <row r="43" spans="1:8" x14ac:dyDescent="0.25">
      <c r="A43" s="20" t="s">
        <v>29</v>
      </c>
    </row>
    <row r="44" spans="1:8" x14ac:dyDescent="0.25">
      <c r="A44" s="20" t="s">
        <v>30</v>
      </c>
      <c r="B44" s="20">
        <f>B12/B11*100</f>
        <v>99.103584856506032</v>
      </c>
      <c r="C44" s="20">
        <f t="shared" ref="C44:H44" si="11">C12/C11*100</f>
        <v>98.45661012772598</v>
      </c>
      <c r="D44" s="20">
        <f t="shared" ref="D44" si="12">D12/D11*100</f>
        <v>100.70587853040803</v>
      </c>
      <c r="E44" s="20">
        <f t="shared" si="11"/>
        <v>100.96136008991607</v>
      </c>
      <c r="F44" s="20">
        <f t="shared" si="11"/>
        <v>99.961866022626154</v>
      </c>
      <c r="G44" s="20">
        <f t="shared" si="11"/>
        <v>100.9095702610071</v>
      </c>
      <c r="H44" s="20">
        <f t="shared" si="11"/>
        <v>113.04989944695826</v>
      </c>
    </row>
    <row r="45" spans="1:8" x14ac:dyDescent="0.25">
      <c r="A45" s="20" t="s">
        <v>31</v>
      </c>
      <c r="B45" s="20">
        <f>B18/B17*100</f>
        <v>101.39430330816978</v>
      </c>
      <c r="C45" s="20">
        <f t="shared" ref="C45:H45" si="13">C18/C17*100</f>
        <v>101.11805105526386</v>
      </c>
      <c r="D45" s="20">
        <f t="shared" ref="D45" si="14">D18/D17*100</f>
        <v>102.01330027881312</v>
      </c>
      <c r="E45" s="20">
        <f t="shared" si="13"/>
        <v>102.25371056561474</v>
      </c>
      <c r="F45" s="20">
        <f t="shared" si="13"/>
        <v>101.26293053202491</v>
      </c>
      <c r="G45" s="20">
        <f t="shared" si="13"/>
        <v>101.68200203562456</v>
      </c>
      <c r="H45" s="20">
        <f t="shared" si="13"/>
        <v>109.77451479230498</v>
      </c>
    </row>
    <row r="46" spans="1:8" x14ac:dyDescent="0.25">
      <c r="A46" s="20" t="s">
        <v>32</v>
      </c>
      <c r="B46" s="20">
        <f>AVERAGE(B44:B45)</f>
        <v>100.24894408233791</v>
      </c>
      <c r="C46" s="20">
        <f t="shared" ref="C46:H46" si="15">AVERAGE(C44:C45)</f>
        <v>99.787330591494921</v>
      </c>
      <c r="D46" s="20">
        <f t="shared" ref="D46" si="16">AVERAGE(D44:D45)</f>
        <v>101.35958940461057</v>
      </c>
      <c r="E46" s="20">
        <f t="shared" si="15"/>
        <v>101.6075353277654</v>
      </c>
      <c r="F46" s="20">
        <f t="shared" si="15"/>
        <v>100.61239827732552</v>
      </c>
      <c r="G46" s="20">
        <f t="shared" si="15"/>
        <v>101.29578614831584</v>
      </c>
      <c r="H46" s="20">
        <f t="shared" si="15"/>
        <v>111.41220711963163</v>
      </c>
    </row>
    <row r="48" spans="1:8" x14ac:dyDescent="0.25">
      <c r="A48" s="20" t="s">
        <v>33</v>
      </c>
    </row>
    <row r="49" spans="1:8" x14ac:dyDescent="0.25">
      <c r="A49" s="20" t="s">
        <v>34</v>
      </c>
      <c r="B49" s="20">
        <f>B12/B13*100</f>
        <v>99.103584856506032</v>
      </c>
      <c r="C49" s="20">
        <f t="shared" ref="C49:H49" si="17">C12/C13*100</f>
        <v>98.45661012772598</v>
      </c>
      <c r="D49" s="20">
        <f t="shared" ref="D49" si="18">D12/D13*100</f>
        <v>100.70587853040803</v>
      </c>
      <c r="E49" s="20">
        <f t="shared" si="17"/>
        <v>100.96136008991607</v>
      </c>
      <c r="F49" s="20">
        <f t="shared" si="17"/>
        <v>99.961866022626154</v>
      </c>
      <c r="G49" s="20">
        <f t="shared" si="17"/>
        <v>100.9095702610071</v>
      </c>
      <c r="H49" s="20">
        <f t="shared" si="17"/>
        <v>113.04989944695826</v>
      </c>
    </row>
    <row r="50" spans="1:8" x14ac:dyDescent="0.25">
      <c r="A50" s="20" t="s">
        <v>35</v>
      </c>
      <c r="B50" s="20">
        <f>B18/B19*100</f>
        <v>101.39430330816981</v>
      </c>
      <c r="C50" s="20">
        <f t="shared" ref="C50:H50" si="19">C18/C19*100</f>
        <v>101.11805105526386</v>
      </c>
      <c r="D50" s="20">
        <f t="shared" ref="D50" si="20">D18/D19*100</f>
        <v>102.01330027881311</v>
      </c>
      <c r="E50" s="20">
        <f t="shared" si="19"/>
        <v>102.25371056561474</v>
      </c>
      <c r="F50" s="20">
        <f t="shared" si="19"/>
        <v>101.26293053202491</v>
      </c>
      <c r="G50" s="20">
        <f t="shared" si="19"/>
        <v>101.68200203562454</v>
      </c>
      <c r="H50" s="20">
        <f t="shared" si="19"/>
        <v>109.77451479230498</v>
      </c>
    </row>
    <row r="51" spans="1:8" x14ac:dyDescent="0.25">
      <c r="A51" s="20" t="s">
        <v>36</v>
      </c>
      <c r="B51" s="20">
        <f>(B49+B50)/2</f>
        <v>100.24894408233791</v>
      </c>
      <c r="C51" s="20">
        <f t="shared" ref="C51:H51" si="21">(C49+C50)/2</f>
        <v>99.787330591494921</v>
      </c>
      <c r="D51" s="20">
        <f t="shared" ref="D51" si="22">(D49+D50)/2</f>
        <v>101.35958940461057</v>
      </c>
      <c r="E51" s="20">
        <f t="shared" si="21"/>
        <v>101.6075353277654</v>
      </c>
      <c r="F51" s="20">
        <f t="shared" si="21"/>
        <v>100.61239827732552</v>
      </c>
      <c r="G51" s="20">
        <f t="shared" si="21"/>
        <v>101.29578614831581</v>
      </c>
      <c r="H51" s="20">
        <f t="shared" si="21"/>
        <v>111.41220711963163</v>
      </c>
    </row>
    <row r="53" spans="1:8" x14ac:dyDescent="0.25">
      <c r="A53" s="20" t="s">
        <v>93</v>
      </c>
    </row>
    <row r="54" spans="1:8" x14ac:dyDescent="0.25">
      <c r="A54" s="20" t="s">
        <v>37</v>
      </c>
      <c r="B54" s="20">
        <f>(B20/B18)*100</f>
        <v>100</v>
      </c>
    </row>
    <row r="56" spans="1:8" x14ac:dyDescent="0.25">
      <c r="A56" s="20" t="s">
        <v>38</v>
      </c>
    </row>
    <row r="57" spans="1:8" x14ac:dyDescent="0.25">
      <c r="A57" s="20" t="s">
        <v>39</v>
      </c>
      <c r="B57" s="20">
        <f>((B12/B10)-1)*100</f>
        <v>-0.59861284729223474</v>
      </c>
      <c r="C57" s="20">
        <f t="shared" ref="C57:H57" si="23">((C12/C10)-1)*100</f>
        <v>1.4775247523615587</v>
      </c>
      <c r="D57" s="20">
        <f t="shared" si="23"/>
        <v>-8.9378053098826964</v>
      </c>
      <c r="E57" s="20">
        <f t="shared" si="23"/>
        <v>-12.059487448205541</v>
      </c>
      <c r="F57" s="20">
        <f t="shared" si="23"/>
        <v>1.6784163108264138</v>
      </c>
      <c r="G57" s="20">
        <f t="shared" si="23"/>
        <v>-0.425225262725204</v>
      </c>
      <c r="H57" s="20">
        <f t="shared" si="23"/>
        <v>19.896196827451384</v>
      </c>
    </row>
    <row r="58" spans="1:8" x14ac:dyDescent="0.25">
      <c r="A58" s="20" t="s">
        <v>40</v>
      </c>
      <c r="B58" s="20">
        <f>((B33/B32)-1)*100</f>
        <v>-3.9816713656066427</v>
      </c>
      <c r="C58" s="20">
        <f t="shared" ref="C58:H58" si="24">((C33/C32)-1)*100</f>
        <v>-6.4831877532786519</v>
      </c>
      <c r="D58" s="20">
        <f t="shared" si="24"/>
        <v>5.3314182036561242</v>
      </c>
      <c r="E58" s="20">
        <f t="shared" si="24"/>
        <v>6.9687997273649271</v>
      </c>
      <c r="F58" s="20">
        <f t="shared" si="24"/>
        <v>0.48368009944743662</v>
      </c>
      <c r="G58" s="20">
        <f t="shared" si="24"/>
        <v>14.685261336212996</v>
      </c>
      <c r="H58" s="20">
        <f t="shared" si="24"/>
        <v>24.929601502369358</v>
      </c>
    </row>
    <row r="59" spans="1:8" x14ac:dyDescent="0.25">
      <c r="A59" s="20" t="s">
        <v>41</v>
      </c>
      <c r="B59" s="20">
        <f>((B35/B34)-1)*100</f>
        <v>-3.4034318989101253</v>
      </c>
      <c r="C59" s="20">
        <f t="shared" ref="C59:H59" si="25">((C35/C34)-1)*100</f>
        <v>-7.8448035908118214</v>
      </c>
      <c r="D59" s="20">
        <f t="shared" si="25"/>
        <v>15.669755777462523</v>
      </c>
      <c r="E59" s="20">
        <f t="shared" si="25"/>
        <v>21.637680544974501</v>
      </c>
      <c r="F59" s="20">
        <f t="shared" si="25"/>
        <v>-1.1750145750960006</v>
      </c>
      <c r="G59" s="20">
        <f t="shared" si="25"/>
        <v>15.175014594616766</v>
      </c>
      <c r="H59" s="20">
        <f t="shared" si="25"/>
        <v>4.1981353938705945</v>
      </c>
    </row>
    <row r="60" spans="1:8" x14ac:dyDescent="0.25">
      <c r="B60" s="26"/>
      <c r="C60" s="26"/>
      <c r="D60" s="26"/>
      <c r="E60" s="26"/>
      <c r="F60" s="26"/>
      <c r="G60" s="26"/>
      <c r="H60" s="26"/>
    </row>
    <row r="61" spans="1:8" x14ac:dyDescent="0.25">
      <c r="A61" s="20" t="s">
        <v>42</v>
      </c>
    </row>
    <row r="62" spans="1:8" x14ac:dyDescent="0.25">
      <c r="A62" s="20" t="s">
        <v>128</v>
      </c>
      <c r="B62" s="20">
        <f>B17/(B11*12)</f>
        <v>5409.4016289880437</v>
      </c>
      <c r="C62" s="20">
        <f t="shared" ref="C62:H62" si="26">C17/(C11*12)</f>
        <v>5454.9715778882091</v>
      </c>
      <c r="D62" s="20">
        <f t="shared" si="26"/>
        <v>5249.6565895534295</v>
      </c>
      <c r="E62" s="20">
        <f t="shared" si="26"/>
        <v>5341.078346482469</v>
      </c>
      <c r="F62" s="20">
        <f t="shared" si="26"/>
        <v>4983.4184674378203</v>
      </c>
      <c r="G62" s="20">
        <f t="shared" si="26"/>
        <v>5787.0029659899801</v>
      </c>
      <c r="H62" s="20">
        <f t="shared" si="26"/>
        <v>4911.9351223395342</v>
      </c>
    </row>
    <row r="63" spans="1:8" x14ac:dyDescent="0.25">
      <c r="A63" s="20" t="s">
        <v>129</v>
      </c>
      <c r="B63" s="20">
        <f>B18/(B12*12)</f>
        <v>5534.4366228474955</v>
      </c>
      <c r="C63" s="20">
        <f t="shared" ref="C63:H63" si="27">C18/(C12*12)</f>
        <v>5602.4282554755591</v>
      </c>
      <c r="D63" s="20">
        <f t="shared" si="27"/>
        <v>5317.8106565949874</v>
      </c>
      <c r="E63" s="20">
        <f t="shared" si="27"/>
        <v>5409.4465334370925</v>
      </c>
      <c r="F63" s="20">
        <f t="shared" si="27"/>
        <v>5048.2806910181416</v>
      </c>
      <c r="G63" s="20">
        <f t="shared" si="27"/>
        <v>5831.3006967123883</v>
      </c>
      <c r="H63" s="20">
        <f t="shared" si="27"/>
        <v>4769.6220640965057</v>
      </c>
    </row>
    <row r="64" spans="1:8" x14ac:dyDescent="0.25">
      <c r="A64" s="20" t="s">
        <v>43</v>
      </c>
      <c r="B64" s="20">
        <f>(B62/B63)*B46</f>
        <v>97.984101793602392</v>
      </c>
      <c r="C64" s="20">
        <f t="shared" ref="C64:H64" si="28">(C62/C63)*C46</f>
        <v>97.160914408485112</v>
      </c>
      <c r="D64" s="20">
        <f t="shared" ref="D64" si="29">(D62/D63)*D46</f>
        <v>100.0605457383944</v>
      </c>
      <c r="E64" s="20">
        <f t="shared" si="28"/>
        <v>100.32335164495279</v>
      </c>
      <c r="F64" s="20">
        <f t="shared" si="28"/>
        <v>99.319692052882203</v>
      </c>
      <c r="G64" s="20">
        <f>(G62/G63)*G46</f>
        <v>100.52628827957405</v>
      </c>
      <c r="H64" s="20">
        <f t="shared" si="28"/>
        <v>114.73645623365529</v>
      </c>
    </row>
    <row r="65" spans="1:8" x14ac:dyDescent="0.25">
      <c r="A65" s="20" t="s">
        <v>130</v>
      </c>
      <c r="B65" s="20">
        <f>B17/B11</f>
        <v>64912.819547856525</v>
      </c>
      <c r="C65" s="20">
        <f t="shared" ref="C65:H65" si="30">C17/C11</f>
        <v>65459.65893465851</v>
      </c>
      <c r="D65" s="20">
        <f t="shared" si="30"/>
        <v>62995.879074641154</v>
      </c>
      <c r="E65" s="20">
        <f t="shared" si="30"/>
        <v>64092.940157789628</v>
      </c>
      <c r="F65" s="20">
        <f t="shared" si="30"/>
        <v>59801.021609253847</v>
      </c>
      <c r="G65" s="20">
        <f t="shared" si="30"/>
        <v>69444.035591879758</v>
      </c>
      <c r="H65" s="20">
        <f t="shared" si="30"/>
        <v>58943.221468074407</v>
      </c>
    </row>
    <row r="66" spans="1:8" x14ac:dyDescent="0.25">
      <c r="A66" s="20" t="s">
        <v>131</v>
      </c>
      <c r="B66" s="20">
        <f>B18/B12</f>
        <v>66413.239474169954</v>
      </c>
      <c r="C66" s="20">
        <f t="shared" ref="C66:H66" si="31">C18/C12</f>
        <v>67229.13906570671</v>
      </c>
      <c r="D66" s="20">
        <f t="shared" si="31"/>
        <v>63813.727879139849</v>
      </c>
      <c r="E66" s="20">
        <f t="shared" si="31"/>
        <v>64913.35840124511</v>
      </c>
      <c r="F66" s="20">
        <f t="shared" si="31"/>
        <v>60579.368292217703</v>
      </c>
      <c r="G66" s="20">
        <f t="shared" si="31"/>
        <v>69975.608360548664</v>
      </c>
      <c r="H66" s="20">
        <f t="shared" si="31"/>
        <v>57235.464769158076</v>
      </c>
    </row>
    <row r="68" spans="1:8" x14ac:dyDescent="0.25">
      <c r="A68" s="20" t="s">
        <v>44</v>
      </c>
    </row>
    <row r="69" spans="1:8" x14ac:dyDescent="0.25">
      <c r="A69" s="20" t="s">
        <v>45</v>
      </c>
      <c r="B69" s="26">
        <f>(B24/B23)*100</f>
        <v>94.384908564595349</v>
      </c>
    </row>
    <row r="70" spans="1:8" x14ac:dyDescent="0.25">
      <c r="A70" s="20" t="s">
        <v>46</v>
      </c>
      <c r="B70" s="26">
        <f>(B18/B24)*100</f>
        <v>106.82413612848205</v>
      </c>
    </row>
    <row r="71" spans="1:8" ht="15.75" thickBot="1" x14ac:dyDescent="0.3">
      <c r="A71" s="29"/>
      <c r="B71" s="29"/>
      <c r="C71" s="29"/>
      <c r="D71" s="29"/>
      <c r="E71" s="29"/>
      <c r="F71" s="29"/>
      <c r="G71" s="29"/>
      <c r="H71" s="29"/>
    </row>
    <row r="72" spans="1:8" ht="15.75" thickTop="1" x14ac:dyDescent="0.25"/>
    <row r="73" spans="1:8" x14ac:dyDescent="0.25">
      <c r="A73" s="30" t="s">
        <v>58</v>
      </c>
    </row>
    <row r="74" spans="1:8" x14ac:dyDescent="0.25">
      <c r="A74" s="20" t="s">
        <v>118</v>
      </c>
    </row>
    <row r="75" spans="1:8" x14ac:dyDescent="0.25">
      <c r="A75" s="20" t="s">
        <v>119</v>
      </c>
    </row>
    <row r="76" spans="1:8" x14ac:dyDescent="0.25">
      <c r="A76" s="20" t="s">
        <v>59</v>
      </c>
    </row>
    <row r="77" spans="1:8" x14ac:dyDescent="0.25">
      <c r="A77" s="20" t="s">
        <v>120</v>
      </c>
    </row>
    <row r="79" spans="1:8" x14ac:dyDescent="0.25">
      <c r="A79" s="20" t="s">
        <v>121</v>
      </c>
    </row>
    <row r="80" spans="1:8" x14ac:dyDescent="0.25">
      <c r="A80" s="31" t="s">
        <v>122</v>
      </c>
    </row>
    <row r="81" spans="1:1" x14ac:dyDescent="0.25">
      <c r="A81" s="31" t="s">
        <v>123</v>
      </c>
    </row>
    <row r="82" spans="1:1" x14ac:dyDescent="0.25">
      <c r="A82" s="31" t="s">
        <v>124</v>
      </c>
    </row>
    <row r="83" spans="1:1" x14ac:dyDescent="0.25">
      <c r="A83" s="31" t="s">
        <v>125</v>
      </c>
    </row>
    <row r="84" spans="1:1" x14ac:dyDescent="0.25">
      <c r="A84" s="32" t="s">
        <v>126</v>
      </c>
    </row>
  </sheetData>
  <mergeCells count="3">
    <mergeCell ref="A4:A5"/>
    <mergeCell ref="C4:H4"/>
    <mergeCell ref="A2:H2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 Trimestre</vt:lpstr>
      <vt:lpstr>II trimestre</vt:lpstr>
      <vt:lpstr>III Trimestre</vt:lpstr>
      <vt:lpstr>IV Trimestre</vt:lpstr>
      <vt:lpstr>I Semestre</vt:lpstr>
      <vt:lpstr>III Trimestre Acumulado</vt:lpstr>
      <vt:lpstr>Anual</vt:lpstr>
      <vt:lpstr>Observaciones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Horacio Rodriguez</cp:lastModifiedBy>
  <dcterms:created xsi:type="dcterms:W3CDTF">2012-04-10T15:25:06Z</dcterms:created>
  <dcterms:modified xsi:type="dcterms:W3CDTF">2014-08-11T20:31:24Z</dcterms:modified>
</cp:coreProperties>
</file>