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driguez\Documents\Hermes Cliente\files\"/>
    </mc:Choice>
  </mc:AlternateContent>
  <bookViews>
    <workbookView xWindow="120" yWindow="105" windowWidth="17400" windowHeight="7230" tabRatio="670"/>
  </bookViews>
  <sheets>
    <sheet name="I Trimestre" sheetId="2" r:id="rId1"/>
    <sheet name="II Trimestre" sheetId="3" r:id="rId2"/>
    <sheet name="III Trimestre" sheetId="1" r:id="rId3"/>
    <sheet name="IV Trimestre" sheetId="4" r:id="rId4"/>
    <sheet name="I Semestre" sheetId="5" r:id="rId5"/>
    <sheet name="III Trimestre Acumulado" sheetId="6" r:id="rId6"/>
    <sheet name="Anual" sheetId="7" r:id="rId7"/>
  </sheets>
  <calcPr calcId="152511"/>
</workbook>
</file>

<file path=xl/calcChain.xml><?xml version="1.0" encoding="utf-8"?>
<calcChain xmlns="http://schemas.openxmlformats.org/spreadsheetml/2006/main">
  <c r="K22" i="7" l="1"/>
  <c r="J22" i="7"/>
  <c r="F22" i="7"/>
  <c r="G22" i="7"/>
  <c r="H22" i="7"/>
  <c r="E22" i="7"/>
  <c r="K22" i="6"/>
  <c r="J22" i="6"/>
  <c r="F22" i="6"/>
  <c r="G22" i="6"/>
  <c r="H22" i="6"/>
  <c r="E22" i="6"/>
  <c r="K22" i="5"/>
  <c r="J22" i="5"/>
  <c r="F22" i="5"/>
  <c r="G22" i="5"/>
  <c r="H22" i="5"/>
  <c r="E22" i="5"/>
  <c r="C27" i="5" l="1"/>
  <c r="I27" i="5"/>
  <c r="C27" i="6"/>
  <c r="I27" i="6"/>
  <c r="I27" i="7"/>
  <c r="C27" i="7"/>
  <c r="B27" i="4"/>
  <c r="B27" i="1"/>
  <c r="B27" i="3"/>
  <c r="B27" i="2"/>
  <c r="H44" i="7" l="1"/>
  <c r="H44" i="6"/>
  <c r="H44" i="5"/>
  <c r="H44" i="4"/>
  <c r="J44" i="4"/>
  <c r="K44" i="4"/>
  <c r="H44" i="1"/>
  <c r="J44" i="1"/>
  <c r="K44" i="1"/>
  <c r="J52" i="3"/>
  <c r="K52" i="3"/>
  <c r="H44" i="3"/>
  <c r="J44" i="3"/>
  <c r="K44" i="3"/>
  <c r="J52" i="2"/>
  <c r="K52" i="2"/>
  <c r="H44" i="2"/>
  <c r="J44" i="2"/>
  <c r="K44" i="2"/>
  <c r="H16" i="7"/>
  <c r="G16" i="7"/>
  <c r="F16" i="7"/>
  <c r="E16" i="7"/>
  <c r="D16" i="7" s="1"/>
  <c r="C16" i="7" s="1"/>
  <c r="H13" i="7"/>
  <c r="K12" i="7"/>
  <c r="K13" i="7"/>
  <c r="K14" i="7"/>
  <c r="K15" i="7"/>
  <c r="K44" i="7" s="1"/>
  <c r="K16" i="7"/>
  <c r="J12" i="7"/>
  <c r="I12" i="7" s="1"/>
  <c r="J13" i="7"/>
  <c r="J14" i="7"/>
  <c r="J15" i="7"/>
  <c r="J44" i="7" s="1"/>
  <c r="J16" i="7"/>
  <c r="I16" i="7" s="1"/>
  <c r="I14" i="7"/>
  <c r="G15" i="7"/>
  <c r="G44" i="7" s="1"/>
  <c r="F15" i="7"/>
  <c r="F44" i="7" s="1"/>
  <c r="G12" i="7"/>
  <c r="F12" i="7"/>
  <c r="E15" i="7"/>
  <c r="E44" i="7" s="1"/>
  <c r="E12" i="7"/>
  <c r="D12" i="7" s="1"/>
  <c r="C12" i="7" s="1"/>
  <c r="J15" i="6"/>
  <c r="J44" i="6" s="1"/>
  <c r="K15" i="6"/>
  <c r="K44" i="6" s="1"/>
  <c r="G15" i="6"/>
  <c r="G44" i="6" s="1"/>
  <c r="F15" i="6"/>
  <c r="F44" i="6" s="1"/>
  <c r="E15" i="6"/>
  <c r="E44" i="6" s="1"/>
  <c r="I12" i="6"/>
  <c r="I16" i="6"/>
  <c r="H13" i="6"/>
  <c r="G12" i="6"/>
  <c r="F12" i="6"/>
  <c r="E12" i="6"/>
  <c r="D12" i="6" s="1"/>
  <c r="C12" i="6" s="1"/>
  <c r="B12" i="6" s="1"/>
  <c r="G15" i="5"/>
  <c r="G44" i="5" s="1"/>
  <c r="F15" i="5"/>
  <c r="F44" i="5" s="1"/>
  <c r="E15" i="5"/>
  <c r="E44" i="5" s="1"/>
  <c r="J15" i="5"/>
  <c r="J44" i="5" s="1"/>
  <c r="K15" i="5"/>
  <c r="K44" i="5" s="1"/>
  <c r="I12" i="5"/>
  <c r="I16" i="5"/>
  <c r="G12" i="5"/>
  <c r="F12" i="5"/>
  <c r="E12" i="5"/>
  <c r="D12" i="5" s="1"/>
  <c r="C12" i="5" s="1"/>
  <c r="B12" i="5" s="1"/>
  <c r="H16" i="6"/>
  <c r="G16" i="6"/>
  <c r="F16" i="6"/>
  <c r="E16" i="6"/>
  <c r="D16" i="6" s="1"/>
  <c r="H16" i="5"/>
  <c r="G16" i="5"/>
  <c r="F16" i="5"/>
  <c r="E16" i="5"/>
  <c r="D16" i="5" s="1"/>
  <c r="G14" i="4"/>
  <c r="F14" i="4"/>
  <c r="E14" i="4"/>
  <c r="D14" i="4" s="1"/>
  <c r="C14" i="4" s="1"/>
  <c r="B14" i="4" s="1"/>
  <c r="G15" i="4"/>
  <c r="G44" i="4" s="1"/>
  <c r="F15" i="4"/>
  <c r="F44" i="4" s="1"/>
  <c r="E15" i="4"/>
  <c r="E44" i="4" s="1"/>
  <c r="G12" i="4"/>
  <c r="F12" i="4"/>
  <c r="E12" i="4"/>
  <c r="I12" i="4"/>
  <c r="I13" i="4"/>
  <c r="I14" i="4"/>
  <c r="I15" i="4"/>
  <c r="I44" i="4" s="1"/>
  <c r="I16" i="4"/>
  <c r="D12" i="4"/>
  <c r="C12" i="4" s="1"/>
  <c r="H16" i="4"/>
  <c r="G16" i="4"/>
  <c r="F16" i="4"/>
  <c r="E16" i="4"/>
  <c r="D16" i="4" s="1"/>
  <c r="I12" i="1"/>
  <c r="I13" i="1"/>
  <c r="I14" i="1"/>
  <c r="I15" i="1"/>
  <c r="I44" i="1" s="1"/>
  <c r="I16" i="1"/>
  <c r="G15" i="1"/>
  <c r="G44" i="1" s="1"/>
  <c r="F15" i="1"/>
  <c r="F44" i="1" s="1"/>
  <c r="E15" i="1"/>
  <c r="E44" i="1" s="1"/>
  <c r="G12" i="1"/>
  <c r="F12" i="1"/>
  <c r="E12" i="1"/>
  <c r="D12" i="1" s="1"/>
  <c r="C12" i="1" s="1"/>
  <c r="H16" i="1"/>
  <c r="G16" i="1"/>
  <c r="F16" i="1"/>
  <c r="E16" i="1"/>
  <c r="D16" i="1" s="1"/>
  <c r="C16" i="4" l="1"/>
  <c r="B16" i="4" s="1"/>
  <c r="B16" i="7"/>
  <c r="I13" i="7"/>
  <c r="C16" i="1"/>
  <c r="D15" i="4"/>
  <c r="B12" i="7"/>
  <c r="C16" i="5"/>
  <c r="B16" i="5" s="1"/>
  <c r="C16" i="6"/>
  <c r="B16" i="6" s="1"/>
  <c r="D15" i="5"/>
  <c r="C15" i="5" s="1"/>
  <c r="C44" i="5" s="1"/>
  <c r="D15" i="7"/>
  <c r="I15" i="6"/>
  <c r="I44" i="6" s="1"/>
  <c r="I15" i="7"/>
  <c r="I44" i="7" s="1"/>
  <c r="B16" i="1"/>
  <c r="D15" i="1"/>
  <c r="C15" i="1" s="1"/>
  <c r="C44" i="1" s="1"/>
  <c r="I15" i="5"/>
  <c r="I44" i="5" s="1"/>
  <c r="D15" i="6"/>
  <c r="B12" i="4"/>
  <c r="B12" i="1"/>
  <c r="B15" i="1"/>
  <c r="I12" i="3"/>
  <c r="I13" i="3"/>
  <c r="I14" i="3"/>
  <c r="I15" i="3"/>
  <c r="I44" i="3" s="1"/>
  <c r="I16" i="3"/>
  <c r="G15" i="3"/>
  <c r="G44" i="3" s="1"/>
  <c r="F15" i="3"/>
  <c r="F44" i="3" s="1"/>
  <c r="E15" i="3"/>
  <c r="G14" i="3"/>
  <c r="F14" i="3"/>
  <c r="E14" i="3"/>
  <c r="G12" i="3"/>
  <c r="F12" i="3"/>
  <c r="E12" i="3"/>
  <c r="D12" i="3" s="1"/>
  <c r="C12" i="3" s="1"/>
  <c r="D44" i="1" l="1"/>
  <c r="D44" i="4"/>
  <c r="C15" i="4"/>
  <c r="D44" i="7"/>
  <c r="C15" i="7"/>
  <c r="D44" i="5"/>
  <c r="I52" i="3"/>
  <c r="B12" i="3"/>
  <c r="B15" i="5"/>
  <c r="D14" i="3"/>
  <c r="D15" i="3"/>
  <c r="E44" i="3"/>
  <c r="C15" i="6"/>
  <c r="D44" i="6"/>
  <c r="H16" i="3"/>
  <c r="H52" i="3" s="1"/>
  <c r="G16" i="3"/>
  <c r="G52" i="3" s="1"/>
  <c r="F16" i="3"/>
  <c r="F52" i="3" s="1"/>
  <c r="E16" i="3"/>
  <c r="E52" i="3" s="1"/>
  <c r="H16" i="2"/>
  <c r="H52" i="2" s="1"/>
  <c r="C44" i="4" l="1"/>
  <c r="B15" i="4"/>
  <c r="C44" i="7"/>
  <c r="B15" i="7"/>
  <c r="D16" i="3"/>
  <c r="D52" i="3" s="1"/>
  <c r="C44" i="6"/>
  <c r="B15" i="6"/>
  <c r="C15" i="3"/>
  <c r="D44" i="3"/>
  <c r="C14" i="3"/>
  <c r="G16" i="2"/>
  <c r="F16" i="2"/>
  <c r="E16" i="2"/>
  <c r="I12" i="2"/>
  <c r="I13" i="2"/>
  <c r="I14" i="2"/>
  <c r="I15" i="2"/>
  <c r="I44" i="2" s="1"/>
  <c r="I16" i="2"/>
  <c r="I52" i="2" l="1"/>
  <c r="B14" i="3"/>
  <c r="B15" i="3"/>
  <c r="C44" i="3"/>
  <c r="F15" i="2"/>
  <c r="F44" i="2" s="1"/>
  <c r="G15" i="2"/>
  <c r="G44" i="2" s="1"/>
  <c r="E15" i="2"/>
  <c r="F12" i="2"/>
  <c r="G12" i="2"/>
  <c r="E12" i="2"/>
  <c r="D12" i="2" s="1"/>
  <c r="C12" i="2" s="1"/>
  <c r="B12" i="2" s="1"/>
  <c r="D15" i="2" l="1"/>
  <c r="E44" i="2"/>
  <c r="E69" i="4"/>
  <c r="F69" i="4"/>
  <c r="G69" i="4"/>
  <c r="H69" i="4"/>
  <c r="J69" i="4"/>
  <c r="K69" i="4"/>
  <c r="H68" i="4"/>
  <c r="J68" i="4"/>
  <c r="K68" i="4"/>
  <c r="H69" i="1"/>
  <c r="J69" i="1"/>
  <c r="K69" i="1"/>
  <c r="H68" i="1"/>
  <c r="J68" i="1"/>
  <c r="K68" i="1"/>
  <c r="E69" i="3"/>
  <c r="F69" i="3"/>
  <c r="G69" i="3"/>
  <c r="H69" i="3"/>
  <c r="J69" i="3"/>
  <c r="K69" i="3"/>
  <c r="H68" i="3"/>
  <c r="J68" i="3"/>
  <c r="K68" i="3"/>
  <c r="H69" i="2"/>
  <c r="J69" i="2"/>
  <c r="K69" i="2"/>
  <c r="J68" i="2"/>
  <c r="K68" i="2"/>
  <c r="D52" i="4"/>
  <c r="E52" i="4"/>
  <c r="F52" i="4"/>
  <c r="G52" i="4"/>
  <c r="H52" i="4"/>
  <c r="J52" i="4"/>
  <c r="K52" i="4"/>
  <c r="H52" i="1"/>
  <c r="J52" i="1"/>
  <c r="K52" i="1"/>
  <c r="K43" i="4"/>
  <c r="J43" i="4"/>
  <c r="H43" i="4"/>
  <c r="K43" i="1"/>
  <c r="J43" i="1"/>
  <c r="H43" i="1"/>
  <c r="K43" i="3"/>
  <c r="J43" i="3"/>
  <c r="H43" i="3"/>
  <c r="C15" i="2" l="1"/>
  <c r="D44" i="2"/>
  <c r="K43" i="2"/>
  <c r="J43" i="2"/>
  <c r="B27" i="7"/>
  <c r="H14" i="6"/>
  <c r="H52" i="6" s="1"/>
  <c r="G14" i="2"/>
  <c r="F14" i="2"/>
  <c r="E14" i="2"/>
  <c r="G13" i="4"/>
  <c r="G11" i="4"/>
  <c r="F13" i="4"/>
  <c r="F11" i="4"/>
  <c r="E13" i="4"/>
  <c r="E11" i="4"/>
  <c r="G14" i="1"/>
  <c r="G13" i="1"/>
  <c r="G11" i="1"/>
  <c r="F14" i="1"/>
  <c r="F13" i="1"/>
  <c r="F11" i="1"/>
  <c r="E14" i="1"/>
  <c r="E13" i="1"/>
  <c r="E11" i="1"/>
  <c r="G13" i="3"/>
  <c r="F13" i="3"/>
  <c r="E13" i="3"/>
  <c r="G11" i="3"/>
  <c r="F11" i="3"/>
  <c r="E11" i="3"/>
  <c r="G68" i="3" l="1"/>
  <c r="G43" i="3"/>
  <c r="F68" i="1"/>
  <c r="F43" i="1"/>
  <c r="G69" i="1"/>
  <c r="G52" i="1"/>
  <c r="F68" i="4"/>
  <c r="F43" i="4"/>
  <c r="F14" i="6"/>
  <c r="F52" i="6" s="1"/>
  <c r="F52" i="2"/>
  <c r="F14" i="7"/>
  <c r="F14" i="5"/>
  <c r="F68" i="3"/>
  <c r="F43" i="3"/>
  <c r="D14" i="1"/>
  <c r="E69" i="1"/>
  <c r="E52" i="1"/>
  <c r="F52" i="1"/>
  <c r="F69" i="1"/>
  <c r="G43" i="1"/>
  <c r="G68" i="1"/>
  <c r="E52" i="2"/>
  <c r="E14" i="7"/>
  <c r="D14" i="7" s="1"/>
  <c r="E14" i="6"/>
  <c r="D14" i="6" s="1"/>
  <c r="C14" i="6" s="1"/>
  <c r="E14" i="5"/>
  <c r="D14" i="5" s="1"/>
  <c r="D52" i="5" s="1"/>
  <c r="G52" i="2"/>
  <c r="G14" i="7"/>
  <c r="G52" i="7" s="1"/>
  <c r="G14" i="5"/>
  <c r="G52" i="5" s="1"/>
  <c r="G14" i="6"/>
  <c r="G52" i="6" s="1"/>
  <c r="D13" i="3"/>
  <c r="E68" i="3"/>
  <c r="E43" i="3"/>
  <c r="D13" i="1"/>
  <c r="E43" i="1"/>
  <c r="E68" i="1"/>
  <c r="D13" i="4"/>
  <c r="E43" i="4"/>
  <c r="E68" i="4"/>
  <c r="G43" i="4"/>
  <c r="G68" i="4"/>
  <c r="B15" i="2"/>
  <c r="C44" i="2"/>
  <c r="E69" i="2"/>
  <c r="G69" i="2"/>
  <c r="F52" i="5"/>
  <c r="B27" i="6"/>
  <c r="F69" i="2"/>
  <c r="E52" i="5"/>
  <c r="E52" i="7"/>
  <c r="F52" i="7"/>
  <c r="B27" i="5"/>
  <c r="D16" i="2"/>
  <c r="C16" i="2" s="1"/>
  <c r="D14" i="2"/>
  <c r="G13" i="2"/>
  <c r="F13" i="2"/>
  <c r="E13" i="2"/>
  <c r="D13" i="2" s="1"/>
  <c r="C13" i="2" s="1"/>
  <c r="G11" i="2"/>
  <c r="F11" i="2"/>
  <c r="E11" i="2"/>
  <c r="D52" i="6" l="1"/>
  <c r="E52" i="6"/>
  <c r="F11" i="7"/>
  <c r="F11" i="6"/>
  <c r="F11" i="5"/>
  <c r="C13" i="1"/>
  <c r="B13" i="1" s="1"/>
  <c r="D43" i="1"/>
  <c r="C14" i="1"/>
  <c r="B14" i="1" s="1"/>
  <c r="B47" i="1" s="1"/>
  <c r="D52" i="1"/>
  <c r="E13" i="5"/>
  <c r="D13" i="5" s="1"/>
  <c r="E13" i="7"/>
  <c r="D13" i="7" s="1"/>
  <c r="C13" i="7" s="1"/>
  <c r="B13" i="7" s="1"/>
  <c r="E13" i="6"/>
  <c r="D13" i="6" s="1"/>
  <c r="C13" i="6" s="1"/>
  <c r="G13" i="7"/>
  <c r="G13" i="6"/>
  <c r="G43" i="6" s="1"/>
  <c r="G13" i="5"/>
  <c r="G43" i="5" s="1"/>
  <c r="E11" i="6"/>
  <c r="E11" i="7"/>
  <c r="E11" i="5"/>
  <c r="G11" i="7"/>
  <c r="G11" i="6"/>
  <c r="G11" i="5"/>
  <c r="F13" i="5"/>
  <c r="F43" i="5" s="1"/>
  <c r="F13" i="7"/>
  <c r="F43" i="7" s="1"/>
  <c r="F13" i="6"/>
  <c r="F43" i="6" s="1"/>
  <c r="D47" i="2"/>
  <c r="D52" i="2"/>
  <c r="C13" i="4"/>
  <c r="D43" i="4"/>
  <c r="C13" i="3"/>
  <c r="B13" i="3" s="1"/>
  <c r="D43" i="3"/>
  <c r="D52" i="7"/>
  <c r="E68" i="2"/>
  <c r="E43" i="2"/>
  <c r="G68" i="2"/>
  <c r="G43" i="2"/>
  <c r="G43" i="7"/>
  <c r="F68" i="2"/>
  <c r="F43" i="2"/>
  <c r="H68" i="2"/>
  <c r="H43" i="7"/>
  <c r="H43" i="6"/>
  <c r="H43" i="2"/>
  <c r="H13" i="5"/>
  <c r="D43" i="2"/>
  <c r="G47" i="2"/>
  <c r="B13" i="4" l="1"/>
  <c r="C43" i="4"/>
  <c r="H43" i="5"/>
  <c r="C13" i="5"/>
  <c r="E43" i="5"/>
  <c r="D43" i="5"/>
  <c r="D43" i="7"/>
  <c r="E43" i="7"/>
  <c r="E43" i="6"/>
  <c r="D43" i="6"/>
  <c r="D11" i="3"/>
  <c r="C11" i="3" s="1"/>
  <c r="F19" i="4" l="1"/>
  <c r="E19" i="4"/>
  <c r="F19" i="3"/>
  <c r="F19" i="2"/>
  <c r="E19" i="3"/>
  <c r="E60" i="3"/>
  <c r="E19" i="2"/>
  <c r="K21" i="5"/>
  <c r="K66" i="5" s="1"/>
  <c r="J21" i="5"/>
  <c r="K20" i="5"/>
  <c r="J20" i="5"/>
  <c r="H21" i="5"/>
  <c r="G21" i="5"/>
  <c r="G69" i="5" s="1"/>
  <c r="F21" i="5"/>
  <c r="F69" i="5" s="1"/>
  <c r="E21" i="5"/>
  <c r="E69" i="5" s="1"/>
  <c r="K19" i="5"/>
  <c r="K35" i="5" s="1"/>
  <c r="J19" i="5"/>
  <c r="J35" i="5" s="1"/>
  <c r="G19" i="5"/>
  <c r="G35" i="5" s="1"/>
  <c r="H19" i="5"/>
  <c r="H35" i="5" s="1"/>
  <c r="K14" i="5"/>
  <c r="J14" i="5"/>
  <c r="K13" i="5"/>
  <c r="K43" i="5" s="1"/>
  <c r="J13" i="5"/>
  <c r="H14" i="5"/>
  <c r="K11" i="5"/>
  <c r="J11" i="5"/>
  <c r="H11" i="5"/>
  <c r="I22" i="5"/>
  <c r="D22" i="5"/>
  <c r="C22" i="5" s="1"/>
  <c r="J20" i="6"/>
  <c r="K20" i="6"/>
  <c r="K21" i="6"/>
  <c r="J21" i="6"/>
  <c r="E21" i="6"/>
  <c r="E69" i="6" s="1"/>
  <c r="F21" i="6"/>
  <c r="F69" i="6" s="1"/>
  <c r="G21" i="6"/>
  <c r="G69" i="6" s="1"/>
  <c r="H21" i="6"/>
  <c r="H69" i="6" s="1"/>
  <c r="K19" i="7"/>
  <c r="J19" i="7"/>
  <c r="K19" i="6"/>
  <c r="K35" i="6" s="1"/>
  <c r="J19" i="6"/>
  <c r="G19" i="6"/>
  <c r="H19" i="6"/>
  <c r="H35" i="6" s="1"/>
  <c r="K14" i="6"/>
  <c r="K52" i="6" s="1"/>
  <c r="J14" i="6"/>
  <c r="K13" i="6"/>
  <c r="K43" i="6" s="1"/>
  <c r="J13" i="6"/>
  <c r="K11" i="7"/>
  <c r="J11" i="7"/>
  <c r="K11" i="6"/>
  <c r="J11" i="6"/>
  <c r="H11" i="6"/>
  <c r="J35" i="6"/>
  <c r="I22" i="6"/>
  <c r="D22" i="6"/>
  <c r="C22" i="6" s="1"/>
  <c r="G35" i="6"/>
  <c r="J21" i="7"/>
  <c r="K21" i="7"/>
  <c r="K20" i="7"/>
  <c r="J20" i="7"/>
  <c r="E21" i="7"/>
  <c r="F21" i="7"/>
  <c r="F69" i="7" s="1"/>
  <c r="G21" i="7"/>
  <c r="H21" i="7"/>
  <c r="G19" i="7"/>
  <c r="G35" i="7" s="1"/>
  <c r="H19" i="7"/>
  <c r="H35" i="7" s="1"/>
  <c r="H11" i="7"/>
  <c r="J52" i="7"/>
  <c r="K52" i="7"/>
  <c r="H14" i="7"/>
  <c r="K43" i="7"/>
  <c r="J43" i="7"/>
  <c r="J57" i="7"/>
  <c r="K36" i="7"/>
  <c r="J35" i="7"/>
  <c r="J37" i="7" s="1"/>
  <c r="I22" i="7"/>
  <c r="D22" i="7"/>
  <c r="C22" i="7" s="1"/>
  <c r="K66" i="4"/>
  <c r="J66" i="4"/>
  <c r="H66" i="4"/>
  <c r="G66" i="4"/>
  <c r="F66" i="4"/>
  <c r="E66" i="4"/>
  <c r="K65" i="4"/>
  <c r="J65" i="4"/>
  <c r="K60" i="4"/>
  <c r="J60" i="4"/>
  <c r="H60" i="4"/>
  <c r="G60" i="4"/>
  <c r="K57" i="4"/>
  <c r="J57" i="4"/>
  <c r="H57" i="4"/>
  <c r="G57" i="4"/>
  <c r="F57" i="4"/>
  <c r="E57" i="4"/>
  <c r="K53" i="4"/>
  <c r="J53" i="4"/>
  <c r="H53" i="4"/>
  <c r="G53" i="4"/>
  <c r="F53" i="4"/>
  <c r="F54" i="4" s="1"/>
  <c r="E53" i="4"/>
  <c r="K54" i="4"/>
  <c r="J54" i="4"/>
  <c r="K48" i="4"/>
  <c r="J48" i="4"/>
  <c r="K47" i="4"/>
  <c r="K49" i="4" s="1"/>
  <c r="J47" i="4"/>
  <c r="J49" i="4" s="1"/>
  <c r="K36" i="4"/>
  <c r="J36" i="4"/>
  <c r="H36" i="4"/>
  <c r="G36" i="4"/>
  <c r="F36" i="4"/>
  <c r="E36" i="4"/>
  <c r="K35" i="4"/>
  <c r="K37" i="4" s="1"/>
  <c r="J35" i="4"/>
  <c r="J37" i="4" s="1"/>
  <c r="H35" i="4"/>
  <c r="H37" i="4" s="1"/>
  <c r="G35" i="4"/>
  <c r="G37" i="4" s="1"/>
  <c r="I22" i="4"/>
  <c r="D22" i="4"/>
  <c r="C22" i="4" s="1"/>
  <c r="I21" i="4"/>
  <c r="I73" i="4" s="1"/>
  <c r="D21" i="4"/>
  <c r="D69" i="4" s="1"/>
  <c r="I20" i="4"/>
  <c r="D20" i="4"/>
  <c r="I19" i="4"/>
  <c r="I35" i="4" s="1"/>
  <c r="F35" i="4"/>
  <c r="E35" i="4"/>
  <c r="D19" i="4"/>
  <c r="D35" i="4" s="1"/>
  <c r="H54" i="4"/>
  <c r="E54" i="4"/>
  <c r="C52" i="4"/>
  <c r="I43" i="4"/>
  <c r="H47" i="4"/>
  <c r="F47" i="4"/>
  <c r="I11" i="4"/>
  <c r="F60" i="4"/>
  <c r="E60" i="4"/>
  <c r="K66" i="3"/>
  <c r="J66" i="3"/>
  <c r="H66" i="3"/>
  <c r="G66" i="3"/>
  <c r="F66" i="3"/>
  <c r="E66" i="3"/>
  <c r="K65" i="3"/>
  <c r="J65" i="3"/>
  <c r="K60" i="3"/>
  <c r="J60" i="3"/>
  <c r="H60" i="3"/>
  <c r="G60" i="3"/>
  <c r="K57" i="3"/>
  <c r="J57" i="3"/>
  <c r="H57" i="3"/>
  <c r="G57" i="3"/>
  <c r="F57" i="3"/>
  <c r="E57" i="3"/>
  <c r="K53" i="3"/>
  <c r="K54" i="3" s="1"/>
  <c r="J53" i="3"/>
  <c r="H53" i="3"/>
  <c r="H54" i="3" s="1"/>
  <c r="G53" i="3"/>
  <c r="F53" i="3"/>
  <c r="F54" i="3" s="1"/>
  <c r="E53" i="3"/>
  <c r="E54" i="3" s="1"/>
  <c r="J54" i="3"/>
  <c r="K48" i="3"/>
  <c r="J48" i="3"/>
  <c r="K47" i="3"/>
  <c r="J47" i="3"/>
  <c r="J49" i="3" s="1"/>
  <c r="K36" i="3"/>
  <c r="J36" i="3"/>
  <c r="H36" i="3"/>
  <c r="G36" i="3"/>
  <c r="F36" i="3"/>
  <c r="E36" i="3"/>
  <c r="K35" i="3"/>
  <c r="K37" i="3" s="1"/>
  <c r="J35" i="3"/>
  <c r="J37" i="3" s="1"/>
  <c r="H35" i="3"/>
  <c r="H37" i="3" s="1"/>
  <c r="G35" i="3"/>
  <c r="G37" i="3" s="1"/>
  <c r="I22" i="3"/>
  <c r="D22" i="3"/>
  <c r="C22" i="3" s="1"/>
  <c r="I21" i="3"/>
  <c r="I73" i="3" s="1"/>
  <c r="D21" i="3"/>
  <c r="D69" i="3" s="1"/>
  <c r="I20" i="3"/>
  <c r="I26" i="3" s="1"/>
  <c r="D20" i="3"/>
  <c r="I19" i="3"/>
  <c r="I35" i="3" s="1"/>
  <c r="F35" i="3"/>
  <c r="E35" i="3"/>
  <c r="D19" i="3"/>
  <c r="D35" i="3" s="1"/>
  <c r="G54" i="3"/>
  <c r="C16" i="3"/>
  <c r="C52" i="3" s="1"/>
  <c r="I43" i="3"/>
  <c r="H47" i="3"/>
  <c r="F47" i="3"/>
  <c r="I11" i="3"/>
  <c r="B11" i="3" s="1"/>
  <c r="F60" i="3"/>
  <c r="F57" i="2"/>
  <c r="H57" i="2"/>
  <c r="E57" i="2"/>
  <c r="D21" i="2"/>
  <c r="K66" i="2"/>
  <c r="J66" i="2"/>
  <c r="H66" i="2"/>
  <c r="K65" i="2"/>
  <c r="J65" i="2"/>
  <c r="K60" i="2"/>
  <c r="J60" i="2"/>
  <c r="H60" i="2"/>
  <c r="K57" i="2"/>
  <c r="J57" i="2"/>
  <c r="G57" i="2"/>
  <c r="K53" i="2"/>
  <c r="J53" i="2"/>
  <c r="H53" i="2"/>
  <c r="H54" i="2" s="1"/>
  <c r="G53" i="2"/>
  <c r="F53" i="2"/>
  <c r="E53" i="2"/>
  <c r="K54" i="2"/>
  <c r="J54" i="2"/>
  <c r="K48" i="2"/>
  <c r="J48" i="2"/>
  <c r="K47" i="2"/>
  <c r="K49" i="2" s="1"/>
  <c r="J47" i="2"/>
  <c r="J49" i="2" s="1"/>
  <c r="K36" i="2"/>
  <c r="J36" i="2"/>
  <c r="H36" i="2"/>
  <c r="G36" i="2"/>
  <c r="F36" i="2"/>
  <c r="E36" i="2"/>
  <c r="K35" i="2"/>
  <c r="K37" i="2" s="1"/>
  <c r="J35" i="2"/>
  <c r="J37" i="2" s="1"/>
  <c r="H35" i="2"/>
  <c r="H37" i="2" s="1"/>
  <c r="G35" i="2"/>
  <c r="G37" i="2" s="1"/>
  <c r="I22" i="2"/>
  <c r="D22" i="2"/>
  <c r="C22" i="2" s="1"/>
  <c r="I21" i="2"/>
  <c r="I73" i="2" s="1"/>
  <c r="I20" i="2"/>
  <c r="I26" i="2" s="1"/>
  <c r="I19" i="2"/>
  <c r="I35" i="2" s="1"/>
  <c r="B16" i="2"/>
  <c r="G66" i="2"/>
  <c r="F66" i="2"/>
  <c r="E66" i="2"/>
  <c r="C14" i="2"/>
  <c r="C52" i="2" s="1"/>
  <c r="I11" i="2"/>
  <c r="K66" i="1"/>
  <c r="J66" i="1"/>
  <c r="H66" i="1"/>
  <c r="K65" i="1"/>
  <c r="J65" i="1"/>
  <c r="K60" i="1"/>
  <c r="J60" i="1"/>
  <c r="H60" i="1"/>
  <c r="K57" i="1"/>
  <c r="J57" i="1"/>
  <c r="H57" i="1"/>
  <c r="G57" i="1"/>
  <c r="F57" i="1"/>
  <c r="E57" i="1"/>
  <c r="K53" i="1"/>
  <c r="J53" i="1"/>
  <c r="H53" i="1"/>
  <c r="G53" i="1"/>
  <c r="F53" i="1"/>
  <c r="E53" i="1"/>
  <c r="J54" i="1"/>
  <c r="K48" i="1"/>
  <c r="J48" i="1"/>
  <c r="K47" i="1"/>
  <c r="K49" i="1" s="1"/>
  <c r="J47" i="1"/>
  <c r="J49" i="1" s="1"/>
  <c r="K36" i="1"/>
  <c r="J36" i="1"/>
  <c r="H36" i="1"/>
  <c r="G36" i="1"/>
  <c r="F36" i="1"/>
  <c r="E36" i="1"/>
  <c r="K35" i="1"/>
  <c r="K37" i="1" s="1"/>
  <c r="J35" i="1"/>
  <c r="J37" i="1" s="1"/>
  <c r="H35" i="1"/>
  <c r="H37" i="1" s="1"/>
  <c r="G35" i="1"/>
  <c r="G37" i="1" s="1"/>
  <c r="I22" i="1"/>
  <c r="D22" i="1"/>
  <c r="C22" i="1" s="1"/>
  <c r="I21" i="1"/>
  <c r="I73" i="1" s="1"/>
  <c r="D21" i="1"/>
  <c r="D69" i="1" s="1"/>
  <c r="I20" i="1"/>
  <c r="I26" i="1" s="1"/>
  <c r="I72" i="1" s="1"/>
  <c r="I19" i="1"/>
  <c r="I35" i="1" s="1"/>
  <c r="F19" i="1"/>
  <c r="F35" i="1" s="1"/>
  <c r="E19" i="1"/>
  <c r="E35" i="1" s="1"/>
  <c r="H54" i="1"/>
  <c r="I43" i="1"/>
  <c r="H47" i="1"/>
  <c r="I11" i="1"/>
  <c r="D11" i="1"/>
  <c r="C11" i="1" s="1"/>
  <c r="B11" i="1" s="1"/>
  <c r="I68" i="4" l="1"/>
  <c r="I26" i="4"/>
  <c r="K49" i="3"/>
  <c r="K67" i="3" s="1"/>
  <c r="J66" i="5"/>
  <c r="J37" i="6"/>
  <c r="D65" i="4"/>
  <c r="D68" i="4"/>
  <c r="J43" i="6"/>
  <c r="I13" i="6"/>
  <c r="B13" i="6" s="1"/>
  <c r="J52" i="6"/>
  <c r="I14" i="6"/>
  <c r="B14" i="6" s="1"/>
  <c r="J43" i="5"/>
  <c r="I13" i="5"/>
  <c r="B13" i="5" s="1"/>
  <c r="J52" i="5"/>
  <c r="I14" i="5"/>
  <c r="I52" i="5" s="1"/>
  <c r="D69" i="2"/>
  <c r="D66" i="2"/>
  <c r="D65" i="3"/>
  <c r="D68" i="3"/>
  <c r="H52" i="7"/>
  <c r="C14" i="7"/>
  <c r="B14" i="7" s="1"/>
  <c r="H52" i="5"/>
  <c r="C14" i="5"/>
  <c r="B14" i="5" s="1"/>
  <c r="C43" i="1"/>
  <c r="C43" i="3"/>
  <c r="I69" i="4"/>
  <c r="I52" i="4"/>
  <c r="I68" i="1"/>
  <c r="I69" i="1"/>
  <c r="I52" i="1"/>
  <c r="I69" i="3"/>
  <c r="I68" i="3"/>
  <c r="F36" i="7"/>
  <c r="B16" i="3"/>
  <c r="B52" i="3" s="1"/>
  <c r="I43" i="2"/>
  <c r="B13" i="2"/>
  <c r="I68" i="2"/>
  <c r="J68" i="6"/>
  <c r="C43" i="2"/>
  <c r="B14" i="2"/>
  <c r="B52" i="2" s="1"/>
  <c r="I69" i="2"/>
  <c r="B22" i="2"/>
  <c r="H57" i="7"/>
  <c r="H69" i="7"/>
  <c r="J68" i="7"/>
  <c r="K57" i="7"/>
  <c r="K69" i="7"/>
  <c r="K69" i="6"/>
  <c r="J68" i="5"/>
  <c r="J69" i="5"/>
  <c r="H36" i="7"/>
  <c r="H38" i="7" s="1"/>
  <c r="G57" i="7"/>
  <c r="G69" i="7"/>
  <c r="E53" i="7"/>
  <c r="E69" i="7"/>
  <c r="K68" i="7"/>
  <c r="I21" i="7"/>
  <c r="I57" i="7" s="1"/>
  <c r="J69" i="7"/>
  <c r="I11" i="7"/>
  <c r="J69" i="6"/>
  <c r="K68" i="6"/>
  <c r="E66" i="5"/>
  <c r="J60" i="5"/>
  <c r="K60" i="5"/>
  <c r="K52" i="5"/>
  <c r="H69" i="5"/>
  <c r="K68" i="5"/>
  <c r="K69" i="5"/>
  <c r="K37" i="5"/>
  <c r="I19" i="5"/>
  <c r="I35" i="5" s="1"/>
  <c r="J60" i="6"/>
  <c r="G53" i="7"/>
  <c r="E57" i="7"/>
  <c r="J65" i="6"/>
  <c r="I11" i="6"/>
  <c r="B11" i="6" s="1"/>
  <c r="I21" i="5"/>
  <c r="I73" i="5" s="1"/>
  <c r="J37" i="5"/>
  <c r="J65" i="5"/>
  <c r="C47" i="2"/>
  <c r="B22" i="6"/>
  <c r="G54" i="4"/>
  <c r="K54" i="1"/>
  <c r="G37" i="7"/>
  <c r="J66" i="7"/>
  <c r="J66" i="6"/>
  <c r="I72" i="3"/>
  <c r="I52" i="7"/>
  <c r="E36" i="7"/>
  <c r="G36" i="7"/>
  <c r="G61" i="7" s="1"/>
  <c r="J36" i="7"/>
  <c r="J47" i="7"/>
  <c r="J49" i="7" s="1"/>
  <c r="J53" i="7"/>
  <c r="I43" i="7"/>
  <c r="H60" i="7"/>
  <c r="D21" i="7"/>
  <c r="J48" i="7"/>
  <c r="G37" i="6"/>
  <c r="H60" i="5"/>
  <c r="I11" i="5"/>
  <c r="I37" i="5" s="1"/>
  <c r="G37" i="5"/>
  <c r="F66" i="5"/>
  <c r="H66" i="5"/>
  <c r="G66" i="5"/>
  <c r="B22" i="5"/>
  <c r="B22" i="4"/>
  <c r="K47" i="7"/>
  <c r="K60" i="7"/>
  <c r="J60" i="7"/>
  <c r="K66" i="6"/>
  <c r="I20" i="7"/>
  <c r="K48" i="7"/>
  <c r="F53" i="7"/>
  <c r="H53" i="7"/>
  <c r="K53" i="7"/>
  <c r="F57" i="7"/>
  <c r="J65" i="7"/>
  <c r="H60" i="6"/>
  <c r="K60" i="6"/>
  <c r="I19" i="6"/>
  <c r="I35" i="6" s="1"/>
  <c r="I37" i="6" s="1"/>
  <c r="H66" i="6"/>
  <c r="G60" i="5"/>
  <c r="I20" i="5"/>
  <c r="I26" i="5" s="1"/>
  <c r="H66" i="7"/>
  <c r="I47" i="2"/>
  <c r="I49" i="2" s="1"/>
  <c r="H37" i="6"/>
  <c r="K65" i="7"/>
  <c r="H37" i="7"/>
  <c r="I21" i="6"/>
  <c r="B22" i="3"/>
  <c r="I20" i="6"/>
  <c r="I26" i="6" s="1"/>
  <c r="I72" i="6" s="1"/>
  <c r="I19" i="7"/>
  <c r="I35" i="7" s="1"/>
  <c r="I72" i="4"/>
  <c r="F66" i="1"/>
  <c r="F60" i="5"/>
  <c r="H47" i="2"/>
  <c r="D19" i="2"/>
  <c r="E19" i="7"/>
  <c r="E19" i="5"/>
  <c r="E35" i="5" s="1"/>
  <c r="E19" i="6"/>
  <c r="E35" i="6" s="1"/>
  <c r="I37" i="2"/>
  <c r="F65" i="2"/>
  <c r="F20" i="5"/>
  <c r="F20" i="6"/>
  <c r="F68" i="6" s="1"/>
  <c r="F20" i="7"/>
  <c r="H65" i="2"/>
  <c r="H20" i="5"/>
  <c r="H20" i="6"/>
  <c r="H68" i="6" s="1"/>
  <c r="H20" i="7"/>
  <c r="E66" i="1"/>
  <c r="G66" i="1"/>
  <c r="D19" i="1"/>
  <c r="D35" i="1" s="1"/>
  <c r="D37" i="1" s="1"/>
  <c r="D20" i="1"/>
  <c r="C20" i="1" s="1"/>
  <c r="D66" i="1"/>
  <c r="B22" i="1"/>
  <c r="D11" i="2"/>
  <c r="D60" i="2" s="1"/>
  <c r="D11" i="7"/>
  <c r="C11" i="7" s="1"/>
  <c r="D11" i="6"/>
  <c r="C11" i="6" s="1"/>
  <c r="I60" i="2"/>
  <c r="F35" i="2"/>
  <c r="F37" i="2" s="1"/>
  <c r="F19" i="5"/>
  <c r="F35" i="5" s="1"/>
  <c r="F37" i="5" s="1"/>
  <c r="F19" i="6"/>
  <c r="F35" i="6" s="1"/>
  <c r="F37" i="6" s="1"/>
  <c r="F19" i="7"/>
  <c r="F35" i="7" s="1"/>
  <c r="E20" i="5"/>
  <c r="E65" i="5" s="1"/>
  <c r="E20" i="6"/>
  <c r="E20" i="7"/>
  <c r="E68" i="7" s="1"/>
  <c r="G20" i="5"/>
  <c r="G48" i="5" s="1"/>
  <c r="G20" i="6"/>
  <c r="G48" i="6" s="1"/>
  <c r="G20" i="7"/>
  <c r="G68" i="7" s="1"/>
  <c r="I65" i="2"/>
  <c r="I60" i="3"/>
  <c r="E37" i="3"/>
  <c r="I37" i="3"/>
  <c r="E65" i="3"/>
  <c r="G65" i="3"/>
  <c r="I65" i="3"/>
  <c r="I60" i="4"/>
  <c r="E37" i="4"/>
  <c r="I37" i="4"/>
  <c r="E65" i="4"/>
  <c r="G65" i="4"/>
  <c r="I65" i="4"/>
  <c r="F54" i="7"/>
  <c r="B22" i="7"/>
  <c r="D11" i="4"/>
  <c r="C11" i="4" s="1"/>
  <c r="B11" i="4" s="1"/>
  <c r="K66" i="7"/>
  <c r="K37" i="6"/>
  <c r="D60" i="3"/>
  <c r="F37" i="3"/>
  <c r="F65" i="3"/>
  <c r="H65" i="3"/>
  <c r="F37" i="4"/>
  <c r="F65" i="4"/>
  <c r="H65" i="4"/>
  <c r="H37" i="5"/>
  <c r="D21" i="5"/>
  <c r="D69" i="5" s="1"/>
  <c r="I72" i="5"/>
  <c r="E36" i="5"/>
  <c r="G36" i="5"/>
  <c r="K36" i="5"/>
  <c r="E47" i="5"/>
  <c r="K47" i="5"/>
  <c r="E48" i="5"/>
  <c r="K48" i="5"/>
  <c r="E53" i="5"/>
  <c r="G53" i="5"/>
  <c r="K53" i="5"/>
  <c r="E57" i="5"/>
  <c r="G57" i="5"/>
  <c r="K57" i="5"/>
  <c r="K65" i="5"/>
  <c r="F36" i="5"/>
  <c r="H36" i="5"/>
  <c r="J36" i="5"/>
  <c r="F47" i="5"/>
  <c r="H47" i="5"/>
  <c r="J47" i="5"/>
  <c r="J49" i="5" s="1"/>
  <c r="J48" i="5"/>
  <c r="F53" i="5"/>
  <c r="H53" i="5"/>
  <c r="J53" i="5"/>
  <c r="F57" i="5"/>
  <c r="H57" i="5"/>
  <c r="J57" i="5"/>
  <c r="K35" i="7"/>
  <c r="K37" i="7" s="1"/>
  <c r="I52" i="6"/>
  <c r="D21" i="6"/>
  <c r="D69" i="6" s="1"/>
  <c r="E36" i="6"/>
  <c r="G36" i="6"/>
  <c r="K36" i="6"/>
  <c r="E47" i="6"/>
  <c r="G47" i="6"/>
  <c r="K47" i="6"/>
  <c r="K48" i="6"/>
  <c r="E53" i="6"/>
  <c r="G53" i="6"/>
  <c r="K53" i="6"/>
  <c r="E57" i="6"/>
  <c r="G57" i="6"/>
  <c r="K57" i="6"/>
  <c r="K65" i="6"/>
  <c r="F36" i="6"/>
  <c r="H36" i="6"/>
  <c r="J36" i="6"/>
  <c r="J47" i="6"/>
  <c r="J49" i="6" s="1"/>
  <c r="F48" i="6"/>
  <c r="H48" i="6"/>
  <c r="J48" i="6"/>
  <c r="F53" i="6"/>
  <c r="H53" i="6"/>
  <c r="J53" i="6"/>
  <c r="F57" i="6"/>
  <c r="H57" i="6"/>
  <c r="J57" i="6"/>
  <c r="J61" i="7"/>
  <c r="C60" i="4"/>
  <c r="C60" i="3"/>
  <c r="E65" i="7"/>
  <c r="I36" i="7"/>
  <c r="K38" i="7"/>
  <c r="E47" i="7"/>
  <c r="E48" i="7"/>
  <c r="G48" i="7"/>
  <c r="J38" i="7"/>
  <c r="J62" i="7" s="1"/>
  <c r="G61" i="2"/>
  <c r="J61" i="2"/>
  <c r="H61" i="2"/>
  <c r="K61" i="2"/>
  <c r="H61" i="3"/>
  <c r="K61" i="3"/>
  <c r="G61" i="3"/>
  <c r="J61" i="3"/>
  <c r="H61" i="4"/>
  <c r="K61" i="4"/>
  <c r="G61" i="4"/>
  <c r="J61" i="4"/>
  <c r="D66" i="4"/>
  <c r="F61" i="4"/>
  <c r="J67" i="4"/>
  <c r="E61" i="4"/>
  <c r="K67" i="4"/>
  <c r="C19" i="4"/>
  <c r="C20" i="4"/>
  <c r="C21" i="4"/>
  <c r="C69" i="4" s="1"/>
  <c r="I36" i="4"/>
  <c r="E38" i="4"/>
  <c r="E62" i="4" s="1"/>
  <c r="G38" i="4"/>
  <c r="G62" i="4" s="1"/>
  <c r="K38" i="4"/>
  <c r="K62" i="4" s="1"/>
  <c r="C47" i="4"/>
  <c r="E47" i="4"/>
  <c r="G47" i="4"/>
  <c r="I47" i="4"/>
  <c r="I49" i="4" s="1"/>
  <c r="E48" i="4"/>
  <c r="G48" i="4"/>
  <c r="I48" i="4"/>
  <c r="I53" i="4"/>
  <c r="I57" i="4"/>
  <c r="I66" i="4"/>
  <c r="D36" i="4"/>
  <c r="F38" i="4"/>
  <c r="F62" i="4" s="1"/>
  <c r="H38" i="4"/>
  <c r="H62" i="4" s="1"/>
  <c r="J38" i="4"/>
  <c r="J62" i="4" s="1"/>
  <c r="D47" i="4"/>
  <c r="D48" i="4"/>
  <c r="F48" i="4"/>
  <c r="F49" i="4" s="1"/>
  <c r="H48" i="4"/>
  <c r="H49" i="4" s="1"/>
  <c r="D53" i="4"/>
  <c r="D57" i="4"/>
  <c r="D66" i="3"/>
  <c r="E61" i="3"/>
  <c r="F61" i="3"/>
  <c r="J67" i="3"/>
  <c r="C19" i="3"/>
  <c r="C20" i="3"/>
  <c r="C21" i="3"/>
  <c r="C69" i="3" s="1"/>
  <c r="I36" i="3"/>
  <c r="E38" i="3"/>
  <c r="G38" i="3"/>
  <c r="G62" i="3" s="1"/>
  <c r="K38" i="3"/>
  <c r="K62" i="3" s="1"/>
  <c r="C47" i="3"/>
  <c r="E47" i="3"/>
  <c r="G47" i="3"/>
  <c r="I47" i="3"/>
  <c r="E48" i="3"/>
  <c r="G48" i="3"/>
  <c r="I48" i="3"/>
  <c r="I53" i="3"/>
  <c r="I57" i="3"/>
  <c r="I66" i="3"/>
  <c r="D36" i="3"/>
  <c r="F38" i="3"/>
  <c r="H38" i="3"/>
  <c r="H62" i="3" s="1"/>
  <c r="J38" i="3"/>
  <c r="J62" i="3" s="1"/>
  <c r="D47" i="3"/>
  <c r="D48" i="3"/>
  <c r="F48" i="3"/>
  <c r="F49" i="3" s="1"/>
  <c r="F67" i="3" s="1"/>
  <c r="H48" i="3"/>
  <c r="H49" i="3" s="1"/>
  <c r="D53" i="3"/>
  <c r="D57" i="3"/>
  <c r="C21" i="2"/>
  <c r="C73" i="2" s="1"/>
  <c r="D35" i="2"/>
  <c r="D37" i="2" s="1"/>
  <c r="C19" i="2"/>
  <c r="I72" i="2"/>
  <c r="F61" i="2"/>
  <c r="K67" i="2"/>
  <c r="J67" i="2"/>
  <c r="E35" i="2"/>
  <c r="E37" i="2" s="1"/>
  <c r="C36" i="2"/>
  <c r="I36" i="2"/>
  <c r="E38" i="2"/>
  <c r="G38" i="2"/>
  <c r="G62" i="2" s="1"/>
  <c r="K38" i="2"/>
  <c r="K62" i="2" s="1"/>
  <c r="E47" i="2"/>
  <c r="E48" i="2"/>
  <c r="G48" i="2"/>
  <c r="I48" i="2"/>
  <c r="E54" i="2"/>
  <c r="G54" i="2"/>
  <c r="C53" i="2"/>
  <c r="C54" i="2" s="1"/>
  <c r="I53" i="2"/>
  <c r="I54" i="2" s="1"/>
  <c r="C57" i="2"/>
  <c r="I57" i="2"/>
  <c r="E60" i="2"/>
  <c r="G60" i="2"/>
  <c r="E65" i="2"/>
  <c r="G65" i="2"/>
  <c r="C66" i="2"/>
  <c r="I66" i="2"/>
  <c r="I67" i="2" s="1"/>
  <c r="D20" i="2"/>
  <c r="B21" i="2"/>
  <c r="D36" i="2"/>
  <c r="D61" i="2" s="1"/>
  <c r="F38" i="2"/>
  <c r="F62" i="2" s="1"/>
  <c r="H38" i="2"/>
  <c r="H62" i="2" s="1"/>
  <c r="J38" i="2"/>
  <c r="J62" i="2" s="1"/>
  <c r="F47" i="2"/>
  <c r="F48" i="2"/>
  <c r="H48" i="2"/>
  <c r="H49" i="2" s="1"/>
  <c r="H67" i="2" s="1"/>
  <c r="F54" i="2"/>
  <c r="D53" i="2"/>
  <c r="D54" i="2" s="1"/>
  <c r="D57" i="2"/>
  <c r="F60" i="2"/>
  <c r="I60" i="1"/>
  <c r="E37" i="1"/>
  <c r="I37" i="1"/>
  <c r="E65" i="1"/>
  <c r="G65" i="1"/>
  <c r="G61" i="1"/>
  <c r="J61" i="1"/>
  <c r="F37" i="1"/>
  <c r="F65" i="1"/>
  <c r="H65" i="1"/>
  <c r="H61" i="1"/>
  <c r="K61" i="1"/>
  <c r="I65" i="1"/>
  <c r="J67" i="1"/>
  <c r="F61" i="1"/>
  <c r="E61" i="1"/>
  <c r="K67" i="1"/>
  <c r="C21" i="1"/>
  <c r="I36" i="1"/>
  <c r="E38" i="1"/>
  <c r="G38" i="1"/>
  <c r="G62" i="1" s="1"/>
  <c r="K38" i="1"/>
  <c r="K62" i="1" s="1"/>
  <c r="E47" i="1"/>
  <c r="G47" i="1"/>
  <c r="I47" i="1"/>
  <c r="E48" i="1"/>
  <c r="G48" i="1"/>
  <c r="I48" i="1"/>
  <c r="E54" i="1"/>
  <c r="G54" i="1"/>
  <c r="I53" i="1"/>
  <c r="I57" i="1"/>
  <c r="E60" i="1"/>
  <c r="G60" i="1"/>
  <c r="I66" i="1"/>
  <c r="D36" i="1"/>
  <c r="F38" i="1"/>
  <c r="H38" i="1"/>
  <c r="H62" i="1" s="1"/>
  <c r="J38" i="1"/>
  <c r="J62" i="1" s="1"/>
  <c r="F47" i="1"/>
  <c r="F48" i="1"/>
  <c r="H48" i="1"/>
  <c r="H49" i="1" s="1"/>
  <c r="F54" i="1"/>
  <c r="D53" i="1"/>
  <c r="D57" i="1"/>
  <c r="F60" i="1"/>
  <c r="C52" i="5" l="1"/>
  <c r="I37" i="7"/>
  <c r="C68" i="3"/>
  <c r="C26" i="3"/>
  <c r="C68" i="4"/>
  <c r="C26" i="4"/>
  <c r="H61" i="7"/>
  <c r="H67" i="3"/>
  <c r="I67" i="4"/>
  <c r="B11" i="7"/>
  <c r="C68" i="1"/>
  <c r="C26" i="1"/>
  <c r="C72" i="1" s="1"/>
  <c r="F61" i="7"/>
  <c r="I48" i="7"/>
  <c r="I53" i="7"/>
  <c r="I43" i="6"/>
  <c r="I43" i="5"/>
  <c r="I49" i="3"/>
  <c r="K49" i="5"/>
  <c r="I68" i="7"/>
  <c r="I26" i="7"/>
  <c r="I72" i="7" s="1"/>
  <c r="F67" i="4"/>
  <c r="D48" i="1"/>
  <c r="H67" i="1"/>
  <c r="D65" i="1"/>
  <c r="D68" i="1"/>
  <c r="D68" i="2"/>
  <c r="D65" i="2"/>
  <c r="D48" i="2"/>
  <c r="D49" i="2" s="1"/>
  <c r="J67" i="7"/>
  <c r="B52" i="4"/>
  <c r="I49" i="1"/>
  <c r="I67" i="1" s="1"/>
  <c r="B47" i="3"/>
  <c r="C69" i="2"/>
  <c r="B69" i="2"/>
  <c r="G68" i="6"/>
  <c r="E68" i="6"/>
  <c r="H48" i="7"/>
  <c r="H68" i="7"/>
  <c r="H68" i="5"/>
  <c r="F68" i="7"/>
  <c r="F48" i="5"/>
  <c r="F49" i="5" s="1"/>
  <c r="F68" i="5"/>
  <c r="I68" i="6"/>
  <c r="I73" i="6"/>
  <c r="I69" i="6"/>
  <c r="I48" i="5"/>
  <c r="I68" i="5"/>
  <c r="D57" i="7"/>
  <c r="D69" i="7"/>
  <c r="I36" i="5"/>
  <c r="I69" i="5"/>
  <c r="D53" i="7"/>
  <c r="J67" i="6"/>
  <c r="I66" i="6"/>
  <c r="H48" i="5"/>
  <c r="H49" i="5" s="1"/>
  <c r="I57" i="5"/>
  <c r="I53" i="5"/>
  <c r="I54" i="5" s="1"/>
  <c r="G68" i="5"/>
  <c r="E68" i="5"/>
  <c r="I73" i="7"/>
  <c r="I69" i="7"/>
  <c r="D36" i="7"/>
  <c r="G38" i="7"/>
  <c r="G62" i="7" s="1"/>
  <c r="C21" i="7"/>
  <c r="I47" i="7"/>
  <c r="I49" i="7" s="1"/>
  <c r="H62" i="7"/>
  <c r="I66" i="7"/>
  <c r="I57" i="6"/>
  <c r="I53" i="6"/>
  <c r="I54" i="6" s="1"/>
  <c r="I48" i="6"/>
  <c r="I36" i="6"/>
  <c r="I38" i="6" s="1"/>
  <c r="I62" i="6" s="1"/>
  <c r="J67" i="5"/>
  <c r="D20" i="5"/>
  <c r="D68" i="5" s="1"/>
  <c r="H54" i="7"/>
  <c r="J54" i="7"/>
  <c r="K67" i="5"/>
  <c r="E65" i="6"/>
  <c r="K49" i="6"/>
  <c r="K67" i="6" s="1"/>
  <c r="K49" i="7"/>
  <c r="K67" i="7" s="1"/>
  <c r="F47" i="6"/>
  <c r="F49" i="6" s="1"/>
  <c r="F37" i="7"/>
  <c r="H67" i="4"/>
  <c r="C72" i="4"/>
  <c r="F62" i="3"/>
  <c r="I67" i="3"/>
  <c r="E62" i="3"/>
  <c r="I65" i="7"/>
  <c r="K61" i="7"/>
  <c r="H47" i="6"/>
  <c r="H49" i="6" s="1"/>
  <c r="D19" i="6"/>
  <c r="I60" i="7"/>
  <c r="G65" i="5"/>
  <c r="G47" i="5"/>
  <c r="G49" i="5" s="1"/>
  <c r="D19" i="5"/>
  <c r="C19" i="5" s="1"/>
  <c r="G54" i="7"/>
  <c r="H65" i="6"/>
  <c r="F65" i="6"/>
  <c r="F38" i="7"/>
  <c r="G47" i="7"/>
  <c r="G49" i="7" s="1"/>
  <c r="E38" i="7"/>
  <c r="E54" i="7"/>
  <c r="K54" i="7"/>
  <c r="I66" i="5"/>
  <c r="H65" i="7"/>
  <c r="H65" i="5"/>
  <c r="F65" i="7"/>
  <c r="F65" i="5"/>
  <c r="C43" i="5"/>
  <c r="D37" i="4"/>
  <c r="F47" i="7"/>
  <c r="J54" i="6"/>
  <c r="F54" i="6"/>
  <c r="F62" i="1"/>
  <c r="E62" i="1"/>
  <c r="C19" i="1"/>
  <c r="F48" i="7"/>
  <c r="K62" i="7"/>
  <c r="G65" i="6"/>
  <c r="E54" i="6"/>
  <c r="E48" i="6"/>
  <c r="G49" i="6"/>
  <c r="D20" i="6"/>
  <c r="D60" i="4"/>
  <c r="I54" i="3"/>
  <c r="F54" i="5"/>
  <c r="E54" i="5"/>
  <c r="D37" i="3"/>
  <c r="G65" i="7"/>
  <c r="D20" i="7"/>
  <c r="D68" i="7" s="1"/>
  <c r="G66" i="6"/>
  <c r="G60" i="6"/>
  <c r="D60" i="1"/>
  <c r="D47" i="1"/>
  <c r="D54" i="1"/>
  <c r="E66" i="6"/>
  <c r="E60" i="6"/>
  <c r="E37" i="6"/>
  <c r="D19" i="7"/>
  <c r="E35" i="7"/>
  <c r="H47" i="7"/>
  <c r="F60" i="6"/>
  <c r="F66" i="6"/>
  <c r="E60" i="5"/>
  <c r="D11" i="5"/>
  <c r="C11" i="2"/>
  <c r="G66" i="7"/>
  <c r="G60" i="7"/>
  <c r="E66" i="7"/>
  <c r="E60" i="7"/>
  <c r="E37" i="5"/>
  <c r="F60" i="7"/>
  <c r="F66" i="7"/>
  <c r="J54" i="5"/>
  <c r="J61" i="5"/>
  <c r="J38" i="5"/>
  <c r="J62" i="5" s="1"/>
  <c r="F61" i="5"/>
  <c r="F38" i="5"/>
  <c r="F62" i="5" s="1"/>
  <c r="K61" i="5"/>
  <c r="K38" i="5"/>
  <c r="K62" i="5" s="1"/>
  <c r="G61" i="5"/>
  <c r="G38" i="5"/>
  <c r="G62" i="5" s="1"/>
  <c r="D66" i="5"/>
  <c r="D57" i="5"/>
  <c r="D53" i="5"/>
  <c r="D54" i="5" s="1"/>
  <c r="D36" i="5"/>
  <c r="C21" i="5"/>
  <c r="C69" i="5" s="1"/>
  <c r="D35" i="5"/>
  <c r="B52" i="5"/>
  <c r="H54" i="5"/>
  <c r="G54" i="5"/>
  <c r="E49" i="5"/>
  <c r="E67" i="5" s="1"/>
  <c r="I65" i="5"/>
  <c r="H61" i="5"/>
  <c r="H38" i="5"/>
  <c r="H62" i="5" s="1"/>
  <c r="I61" i="5"/>
  <c r="I38" i="5"/>
  <c r="I62" i="5" s="1"/>
  <c r="E61" i="5"/>
  <c r="E38" i="5"/>
  <c r="I60" i="5"/>
  <c r="I47" i="5"/>
  <c r="I49" i="5" s="1"/>
  <c r="K54" i="5"/>
  <c r="J61" i="6"/>
  <c r="J38" i="6"/>
  <c r="J62" i="6" s="1"/>
  <c r="F61" i="6"/>
  <c r="F38" i="6"/>
  <c r="F62" i="6" s="1"/>
  <c r="K61" i="6"/>
  <c r="K38" i="6"/>
  <c r="K62" i="6" s="1"/>
  <c r="G61" i="6"/>
  <c r="G38" i="6"/>
  <c r="G62" i="6" s="1"/>
  <c r="D66" i="6"/>
  <c r="D57" i="6"/>
  <c r="D53" i="6"/>
  <c r="D36" i="6"/>
  <c r="C21" i="6"/>
  <c r="D35" i="6"/>
  <c r="D37" i="6" s="1"/>
  <c r="C19" i="6"/>
  <c r="H54" i="6"/>
  <c r="G54" i="6"/>
  <c r="E49" i="6"/>
  <c r="I65" i="6"/>
  <c r="H61" i="6"/>
  <c r="H38" i="6"/>
  <c r="H62" i="6" s="1"/>
  <c r="E61" i="6"/>
  <c r="E38" i="6"/>
  <c r="C20" i="6"/>
  <c r="C26" i="6" s="1"/>
  <c r="I60" i="6"/>
  <c r="I47" i="6"/>
  <c r="I49" i="6" s="1"/>
  <c r="K54" i="6"/>
  <c r="I54" i="7"/>
  <c r="C73" i="7"/>
  <c r="B21" i="7"/>
  <c r="C57" i="7"/>
  <c r="C53" i="7"/>
  <c r="C36" i="7"/>
  <c r="E49" i="7"/>
  <c r="E67" i="7" s="1"/>
  <c r="D38" i="7"/>
  <c r="I61" i="7"/>
  <c r="I38" i="7"/>
  <c r="I62" i="7" s="1"/>
  <c r="I54" i="4"/>
  <c r="G49" i="4"/>
  <c r="G67" i="4" s="1"/>
  <c r="D61" i="4"/>
  <c r="D38" i="4"/>
  <c r="I61" i="4"/>
  <c r="I38" i="4"/>
  <c r="I62" i="4" s="1"/>
  <c r="B20" i="4"/>
  <c r="B26" i="4" s="1"/>
  <c r="B72" i="4" s="1"/>
  <c r="C65" i="4"/>
  <c r="C73" i="4"/>
  <c r="B21" i="4"/>
  <c r="B69" i="4" s="1"/>
  <c r="C66" i="4"/>
  <c r="C57" i="4"/>
  <c r="C53" i="4"/>
  <c r="C54" i="4" s="1"/>
  <c r="C48" i="4"/>
  <c r="C36" i="4"/>
  <c r="B19" i="4"/>
  <c r="B35" i="4" s="1"/>
  <c r="B37" i="4" s="1"/>
  <c r="C35" i="4"/>
  <c r="C37" i="4" s="1"/>
  <c r="C49" i="4"/>
  <c r="D54" i="4"/>
  <c r="D49" i="4"/>
  <c r="D67" i="4" s="1"/>
  <c r="E49" i="4"/>
  <c r="E67" i="4" s="1"/>
  <c r="B60" i="4"/>
  <c r="B47" i="4"/>
  <c r="G49" i="3"/>
  <c r="G67" i="3" s="1"/>
  <c r="D61" i="3"/>
  <c r="D38" i="3"/>
  <c r="D62" i="3" s="1"/>
  <c r="C73" i="3"/>
  <c r="B21" i="3"/>
  <c r="B66" i="3" s="1"/>
  <c r="C66" i="3"/>
  <c r="C57" i="3"/>
  <c r="C53" i="3"/>
  <c r="C54" i="3" s="1"/>
  <c r="C48" i="3"/>
  <c r="C49" i="3" s="1"/>
  <c r="C36" i="3"/>
  <c r="B19" i="3"/>
  <c r="B35" i="3" s="1"/>
  <c r="B37" i="3" s="1"/>
  <c r="C35" i="3"/>
  <c r="C37" i="3" s="1"/>
  <c r="D54" i="3"/>
  <c r="D49" i="3"/>
  <c r="D67" i="3" s="1"/>
  <c r="E49" i="3"/>
  <c r="E67" i="3" s="1"/>
  <c r="I61" i="3"/>
  <c r="I38" i="3"/>
  <c r="I62" i="3" s="1"/>
  <c r="B20" i="3"/>
  <c r="C65" i="3"/>
  <c r="B60" i="3"/>
  <c r="E49" i="2"/>
  <c r="E67" i="2" s="1"/>
  <c r="B47" i="2"/>
  <c r="D38" i="2"/>
  <c r="D62" i="2" s="1"/>
  <c r="D67" i="2"/>
  <c r="C20" i="2"/>
  <c r="C38" i="2"/>
  <c r="F49" i="2"/>
  <c r="F67" i="2" s="1"/>
  <c r="G49" i="2"/>
  <c r="G67" i="2" s="1"/>
  <c r="E62" i="2"/>
  <c r="E61" i="2"/>
  <c r="B66" i="2"/>
  <c r="B57" i="2"/>
  <c r="B53" i="2"/>
  <c r="B54" i="2" s="1"/>
  <c r="B36" i="2"/>
  <c r="B73" i="2"/>
  <c r="I61" i="2"/>
  <c r="I38" i="2"/>
  <c r="I62" i="2" s="1"/>
  <c r="B19" i="2"/>
  <c r="B35" i="2" s="1"/>
  <c r="C35" i="2"/>
  <c r="I54" i="1"/>
  <c r="G49" i="1"/>
  <c r="G67" i="1" s="1"/>
  <c r="D61" i="1"/>
  <c r="D38" i="1"/>
  <c r="D62" i="1" s="1"/>
  <c r="C73" i="1"/>
  <c r="C66" i="1"/>
  <c r="C57" i="1"/>
  <c r="C53" i="1"/>
  <c r="C48" i="1"/>
  <c r="C36" i="1"/>
  <c r="B21" i="1"/>
  <c r="B19" i="1"/>
  <c r="B35" i="1" s="1"/>
  <c r="B37" i="1" s="1"/>
  <c r="C35" i="1"/>
  <c r="C37" i="1" s="1"/>
  <c r="I61" i="1"/>
  <c r="I38" i="1"/>
  <c r="I62" i="1" s="1"/>
  <c r="C65" i="1"/>
  <c r="B20" i="1"/>
  <c r="B26" i="1" s="1"/>
  <c r="B72" i="1" s="1"/>
  <c r="F49" i="1"/>
  <c r="F67" i="1" s="1"/>
  <c r="E49" i="1"/>
  <c r="E67" i="1" s="1"/>
  <c r="C37" i="2" l="1"/>
  <c r="C62" i="2" s="1"/>
  <c r="I67" i="7"/>
  <c r="C68" i="2"/>
  <c r="C26" i="2"/>
  <c r="E62" i="5"/>
  <c r="F62" i="7"/>
  <c r="C20" i="5"/>
  <c r="D48" i="5"/>
  <c r="B65" i="3"/>
  <c r="B26" i="3"/>
  <c r="D49" i="1"/>
  <c r="D67" i="1" s="1"/>
  <c r="D62" i="4"/>
  <c r="B69" i="3"/>
  <c r="C69" i="1"/>
  <c r="C52" i="1"/>
  <c r="B65" i="4"/>
  <c r="B68" i="4"/>
  <c r="F49" i="7"/>
  <c r="F67" i="7" s="1"/>
  <c r="B65" i="1"/>
  <c r="B68" i="1"/>
  <c r="B68" i="3"/>
  <c r="H67" i="6"/>
  <c r="F67" i="6"/>
  <c r="D48" i="6"/>
  <c r="D68" i="6"/>
  <c r="E62" i="6"/>
  <c r="I61" i="6"/>
  <c r="D37" i="5"/>
  <c r="H49" i="7"/>
  <c r="H67" i="7" s="1"/>
  <c r="H67" i="5"/>
  <c r="D65" i="6"/>
  <c r="E67" i="6"/>
  <c r="C72" i="6"/>
  <c r="G67" i="6"/>
  <c r="G67" i="5"/>
  <c r="B47" i="5"/>
  <c r="C47" i="5"/>
  <c r="D65" i="5"/>
  <c r="F67" i="5"/>
  <c r="C43" i="6"/>
  <c r="D47" i="5"/>
  <c r="D49" i="5" s="1"/>
  <c r="G67" i="7"/>
  <c r="C43" i="7"/>
  <c r="D60" i="7"/>
  <c r="C52" i="7"/>
  <c r="D66" i="7"/>
  <c r="D47" i="7"/>
  <c r="D54" i="7"/>
  <c r="B11" i="2"/>
  <c r="B60" i="2" s="1"/>
  <c r="C60" i="2"/>
  <c r="C11" i="5"/>
  <c r="D60" i="5"/>
  <c r="C72" i="2"/>
  <c r="E37" i="7"/>
  <c r="E62" i="7" s="1"/>
  <c r="E61" i="7"/>
  <c r="D35" i="7"/>
  <c r="C19" i="7"/>
  <c r="D47" i="6"/>
  <c r="D60" i="6"/>
  <c r="C52" i="6"/>
  <c r="D54" i="6"/>
  <c r="C54" i="1"/>
  <c r="C60" i="1"/>
  <c r="C47" i="1"/>
  <c r="C49" i="1" s="1"/>
  <c r="C67" i="1" s="1"/>
  <c r="D65" i="7"/>
  <c r="C20" i="7"/>
  <c r="C26" i="7" s="1"/>
  <c r="D48" i="7"/>
  <c r="C72" i="3"/>
  <c r="B72" i="3"/>
  <c r="I67" i="5"/>
  <c r="C65" i="5"/>
  <c r="B20" i="5"/>
  <c r="B26" i="5" s="1"/>
  <c r="C35" i="5"/>
  <c r="B19" i="5"/>
  <c r="B35" i="5" s="1"/>
  <c r="D61" i="5"/>
  <c r="D38" i="5"/>
  <c r="C73" i="5"/>
  <c r="C66" i="5"/>
  <c r="C57" i="5"/>
  <c r="C53" i="5"/>
  <c r="C54" i="5" s="1"/>
  <c r="C48" i="5"/>
  <c r="C36" i="5"/>
  <c r="B21" i="5"/>
  <c r="B69" i="5" s="1"/>
  <c r="I67" i="6"/>
  <c r="D61" i="6"/>
  <c r="D38" i="6"/>
  <c r="D62" i="6" s="1"/>
  <c r="B20" i="6"/>
  <c r="B26" i="6" s="1"/>
  <c r="B72" i="6" s="1"/>
  <c r="C35" i="6"/>
  <c r="C37" i="6" s="1"/>
  <c r="B19" i="6"/>
  <c r="B35" i="6" s="1"/>
  <c r="B37" i="6" s="1"/>
  <c r="C73" i="6"/>
  <c r="C57" i="6"/>
  <c r="C53" i="6"/>
  <c r="C48" i="6"/>
  <c r="C36" i="6"/>
  <c r="B21" i="6"/>
  <c r="B57" i="7"/>
  <c r="B53" i="7"/>
  <c r="B36" i="7"/>
  <c r="B73" i="7"/>
  <c r="C61" i="4"/>
  <c r="C38" i="4"/>
  <c r="C62" i="4" s="1"/>
  <c r="B66" i="4"/>
  <c r="B57" i="4"/>
  <c r="B53" i="4"/>
  <c r="B54" i="4" s="1"/>
  <c r="B48" i="4"/>
  <c r="B49" i="4" s="1"/>
  <c r="B36" i="4"/>
  <c r="B73" i="4"/>
  <c r="C67" i="4"/>
  <c r="B57" i="3"/>
  <c r="B53" i="3"/>
  <c r="B54" i="3" s="1"/>
  <c r="B48" i="3"/>
  <c r="B49" i="3" s="1"/>
  <c r="B36" i="3"/>
  <c r="B73" i="3"/>
  <c r="C61" i="3"/>
  <c r="C38" i="3"/>
  <c r="C62" i="3" s="1"/>
  <c r="C67" i="3"/>
  <c r="C61" i="2"/>
  <c r="B61" i="2"/>
  <c r="B38" i="2"/>
  <c r="B20" i="2"/>
  <c r="C65" i="2"/>
  <c r="C48" i="2"/>
  <c r="C49" i="2" s="1"/>
  <c r="B66" i="1"/>
  <c r="B57" i="1"/>
  <c r="B53" i="1"/>
  <c r="B48" i="1"/>
  <c r="B36" i="1"/>
  <c r="B73" i="1"/>
  <c r="C61" i="1"/>
  <c r="C38" i="1"/>
  <c r="C62" i="1" s="1"/>
  <c r="B67" i="3" l="1"/>
  <c r="B68" i="2"/>
  <c r="B26" i="2"/>
  <c r="B72" i="2" s="1"/>
  <c r="C68" i="5"/>
  <c r="C26" i="5"/>
  <c r="C72" i="5" s="1"/>
  <c r="B72" i="5"/>
  <c r="C68" i="7"/>
  <c r="C49" i="5"/>
  <c r="C67" i="5" s="1"/>
  <c r="D49" i="6"/>
  <c r="D67" i="6" s="1"/>
  <c r="D62" i="5"/>
  <c r="D67" i="5"/>
  <c r="B52" i="1"/>
  <c r="B69" i="1"/>
  <c r="C69" i="6"/>
  <c r="B68" i="5"/>
  <c r="C69" i="7"/>
  <c r="C68" i="6"/>
  <c r="B65" i="5"/>
  <c r="C65" i="6"/>
  <c r="C72" i="7"/>
  <c r="C37" i="5"/>
  <c r="C54" i="7"/>
  <c r="C54" i="6"/>
  <c r="C66" i="6"/>
  <c r="C38" i="7"/>
  <c r="B65" i="6"/>
  <c r="C65" i="7"/>
  <c r="C48" i="7"/>
  <c r="B20" i="7"/>
  <c r="B60" i="1"/>
  <c r="B49" i="1"/>
  <c r="B67" i="1" s="1"/>
  <c r="B54" i="1"/>
  <c r="C60" i="6"/>
  <c r="C47" i="6"/>
  <c r="C49" i="6" s="1"/>
  <c r="B52" i="6"/>
  <c r="C35" i="7"/>
  <c r="B19" i="7"/>
  <c r="B35" i="7" s="1"/>
  <c r="B37" i="7" s="1"/>
  <c r="B11" i="5"/>
  <c r="B60" i="5" s="1"/>
  <c r="C60" i="5"/>
  <c r="D49" i="7"/>
  <c r="D67" i="7" s="1"/>
  <c r="D37" i="7"/>
  <c r="D62" i="7" s="1"/>
  <c r="D61" i="7"/>
  <c r="C47" i="7"/>
  <c r="C60" i="7"/>
  <c r="C66" i="7"/>
  <c r="B37" i="2"/>
  <c r="B62" i="2" s="1"/>
  <c r="C61" i="5"/>
  <c r="C38" i="5"/>
  <c r="B66" i="5"/>
  <c r="B57" i="5"/>
  <c r="B53" i="5"/>
  <c r="B54" i="5" s="1"/>
  <c r="B48" i="5"/>
  <c r="B49" i="5" s="1"/>
  <c r="B36" i="5"/>
  <c r="B73" i="5"/>
  <c r="C61" i="6"/>
  <c r="C38" i="6"/>
  <c r="C62" i="6" s="1"/>
  <c r="B57" i="6"/>
  <c r="B53" i="6"/>
  <c r="B48" i="6"/>
  <c r="B36" i="6"/>
  <c r="B73" i="6"/>
  <c r="B67" i="4"/>
  <c r="B61" i="4"/>
  <c r="B38" i="4"/>
  <c r="B62" i="4" s="1"/>
  <c r="B61" i="3"/>
  <c r="B38" i="3"/>
  <c r="B62" i="3" s="1"/>
  <c r="C67" i="2"/>
  <c r="B65" i="2"/>
  <c r="B48" i="2"/>
  <c r="B49" i="2" s="1"/>
  <c r="B61" i="1"/>
  <c r="B38" i="1"/>
  <c r="B62" i="1" s="1"/>
  <c r="B68" i="7" l="1"/>
  <c r="B26" i="7"/>
  <c r="B72" i="7" s="1"/>
  <c r="B61" i="7"/>
  <c r="B68" i="6"/>
  <c r="B52" i="7"/>
  <c r="B54" i="7" s="1"/>
  <c r="B69" i="7"/>
  <c r="B69" i="6"/>
  <c r="C62" i="5"/>
  <c r="C67" i="6"/>
  <c r="B38" i="7"/>
  <c r="B62" i="7" s="1"/>
  <c r="B66" i="6"/>
  <c r="B54" i="6"/>
  <c r="B67" i="5"/>
  <c r="B60" i="7"/>
  <c r="B47" i="7"/>
  <c r="B66" i="7"/>
  <c r="C37" i="7"/>
  <c r="C62" i="7" s="1"/>
  <c r="C61" i="7"/>
  <c r="C49" i="7"/>
  <c r="C67" i="7" s="1"/>
  <c r="B37" i="5"/>
  <c r="B60" i="6"/>
  <c r="B47" i="6"/>
  <c r="B49" i="6" s="1"/>
  <c r="B65" i="7"/>
  <c r="B48" i="7"/>
  <c r="B61" i="5"/>
  <c r="B38" i="5"/>
  <c r="B61" i="6"/>
  <c r="B38" i="6"/>
  <c r="B62" i="6" s="1"/>
  <c r="B67" i="2"/>
  <c r="B49" i="7" l="1"/>
  <c r="B67" i="7" s="1"/>
  <c r="B67" i="6"/>
  <c r="B62" i="5"/>
</calcChain>
</file>

<file path=xl/sharedStrings.xml><?xml version="1.0" encoding="utf-8"?>
<sst xmlns="http://schemas.openxmlformats.org/spreadsheetml/2006/main" count="567" uniqueCount="145">
  <si>
    <t>Indicador</t>
  </si>
  <si>
    <t>Total IAFA</t>
  </si>
  <si>
    <t>Atención adicciones a menores de edad</t>
  </si>
  <si>
    <t>Prevención para el Consumo de Drogas</t>
  </si>
  <si>
    <t>Total</t>
  </si>
  <si>
    <t xml:space="preserve">Atención integral </t>
  </si>
  <si>
    <t>Seguimiento</t>
  </si>
  <si>
    <t>Campaña de drogas</t>
  </si>
  <si>
    <t>Capacitación socioeducativa</t>
  </si>
  <si>
    <t>Internamiento</t>
  </si>
  <si>
    <t>Educación y terapia</t>
  </si>
  <si>
    <t>Esparcimiento</t>
  </si>
  <si>
    <t>Insumos</t>
  </si>
  <si>
    <t>Efectivos 3T 2010</t>
  </si>
  <si>
    <t>Programados 3T 2011</t>
  </si>
  <si>
    <t>Efectivos 3T 2011</t>
  </si>
  <si>
    <t>Programados año 2011</t>
  </si>
  <si>
    <t>Gasto FODESAF</t>
  </si>
  <si>
    <t>En transferencias 3T 2011</t>
  </si>
  <si>
    <t>Ingresos FODESAF</t>
  </si>
  <si>
    <t>Otros insumos</t>
  </si>
  <si>
    <t>IPC (3T 2010)</t>
  </si>
  <si>
    <t>IPC (3T 2011)</t>
  </si>
  <si>
    <t>Población objetivo</t>
  </si>
  <si>
    <t>Cálculos intermedios</t>
  </si>
  <si>
    <t>Gasto efectivo real 3T 2010</t>
  </si>
  <si>
    <t>Gasto efectivo real 3T 2011</t>
  </si>
  <si>
    <t>Gasto efectivo real por beneficiario 3T 2010</t>
  </si>
  <si>
    <t>Gasto efectivo real por beneficiario 3T 2011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</si>
  <si>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</si>
  <si>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</si>
  <si>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</si>
  <si>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</si>
  <si>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</si>
  <si>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</si>
  <si>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</si>
  <si>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</si>
  <si>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</si>
  <si>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</si>
  <si>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</si>
  <si>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</si>
  <si>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</si>
  <si>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</si>
  <si>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</si>
  <si>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</si>
  <si>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</si>
  <si>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</si>
  <si>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</si>
  <si>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</si>
  <si>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</si>
  <si>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</si>
  <si>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Efectivos 1T 2010</t>
  </si>
  <si>
    <t>Programados 1T 2011</t>
  </si>
  <si>
    <t>Efectivos 1T 2011</t>
  </si>
  <si>
    <t>En transferencias 1T 2011</t>
  </si>
  <si>
    <t>IPC (1T 2010)</t>
  </si>
  <si>
    <t>IPC (1T 2011)</t>
  </si>
  <si>
    <t>Gasto efectivo real 1T 2010</t>
  </si>
  <si>
    <t>Gasto efectivo real 1T 2011</t>
  </si>
  <si>
    <t>Gasto efectivo real por beneficiario 1T 2010</t>
  </si>
  <si>
    <t>Gasto efectivo real por beneficiario 1T 2011</t>
  </si>
  <si>
    <t>Indicadores propuestos aplicado a IAFA. Primer Trimestre 2011</t>
  </si>
  <si>
    <t>Indicadores propuestos aplicado a IAFA. Tercer Trimestre 2011</t>
  </si>
  <si>
    <t>Indicadores propuestos aplicado a IAFA. Segundo Trimestre 2011</t>
  </si>
  <si>
    <t>Efectivos 2T 2010</t>
  </si>
  <si>
    <t>Programados 2T 2011</t>
  </si>
  <si>
    <t>Efectivos 2T 2011</t>
  </si>
  <si>
    <t>En transferencias 2T 2011</t>
  </si>
  <si>
    <t>IPC (2T 2010)</t>
  </si>
  <si>
    <t>IPC (2T 2011)</t>
  </si>
  <si>
    <t>Gasto efectivo real 2T 2010</t>
  </si>
  <si>
    <t>Gasto efectivo real 2T 2011</t>
  </si>
  <si>
    <t>Gasto efectivo real por beneficiario 2T 2010</t>
  </si>
  <si>
    <t>Gasto efectivo real por beneficiario 2T 2011</t>
  </si>
  <si>
    <t>Indicadores propuestos aplicado a IAFA. Cuarto Trimestre 2011</t>
  </si>
  <si>
    <t>Efectivos 4T 2010</t>
  </si>
  <si>
    <t>Programados 4T 2011</t>
  </si>
  <si>
    <t>Efectivos 4T 2011</t>
  </si>
  <si>
    <t>En transferencias 4T 2011</t>
  </si>
  <si>
    <t>IPC (4T 2010)</t>
  </si>
  <si>
    <t>IPC (4T 2011)</t>
  </si>
  <si>
    <t>Gasto efectivo real 4T 2010</t>
  </si>
  <si>
    <t>Gasto efectivo real 4T 2011</t>
  </si>
  <si>
    <t>Gasto efectivo real por beneficiario 4T 2010</t>
  </si>
  <si>
    <t>Gasto efectivo real por beneficiario 4T 2011</t>
  </si>
  <si>
    <t>Indicadores propuestos aplicado a IAFA.Anual 2011</t>
  </si>
  <si>
    <t>Efectivos  2010</t>
  </si>
  <si>
    <t>Programados  2011</t>
  </si>
  <si>
    <t>Efectivos  2011</t>
  </si>
  <si>
    <t>En transferencias  2011</t>
  </si>
  <si>
    <t>IPC ( 2010)</t>
  </si>
  <si>
    <t>IPC ( 2011)</t>
  </si>
  <si>
    <t>Gasto efectivo real  2010</t>
  </si>
  <si>
    <t>Gasto efectivo real  2011</t>
  </si>
  <si>
    <t>Gasto efectivo real por beneficiario  2010</t>
  </si>
  <si>
    <t>Gasto efectivo real por beneficiario  2011</t>
  </si>
  <si>
    <t>Indicadores propuestos aplicado a IAFA.Tercer Trimestre Acumulado 2011</t>
  </si>
  <si>
    <t>Efectivos 3TA 2010</t>
  </si>
  <si>
    <t>Programados 3TA 2011</t>
  </si>
  <si>
    <t>Efectivos 3TA 2011</t>
  </si>
  <si>
    <t>En transferencias 3TA 2011</t>
  </si>
  <si>
    <t>IPC (3TA 2010)</t>
  </si>
  <si>
    <t>IPC (3TA 2011)</t>
  </si>
  <si>
    <t>Gasto efectivo real 3TA 2010</t>
  </si>
  <si>
    <t>Gasto efectivo real 3TA 2011</t>
  </si>
  <si>
    <t>Gasto efectivo real por beneficiario 3TA 2010</t>
  </si>
  <si>
    <t>Gasto efectivo real por beneficiario 3TA 2011</t>
  </si>
  <si>
    <t>Indicadores propuestos aplicado a IAFA.Primer Semestre 2011</t>
  </si>
  <si>
    <t>Efectivos 1S 2010</t>
  </si>
  <si>
    <t>Programados 1S 2011</t>
  </si>
  <si>
    <t>Efectivos 1S 2011</t>
  </si>
  <si>
    <t>En transferencias 1S 2011</t>
  </si>
  <si>
    <t>IPC (1S 2010)</t>
  </si>
  <si>
    <t>IPC (1S 2011)</t>
  </si>
  <si>
    <t>Gasto efectivo real 1S 2010</t>
  </si>
  <si>
    <t>Gasto efectivo real 1S 2011</t>
  </si>
  <si>
    <t>Gasto efectivo real por beneficiario 1S 2010</t>
  </si>
  <si>
    <t>Gasto efectivo real por beneficiario 1S 2011</t>
  </si>
  <si>
    <t>De Composición</t>
  </si>
  <si>
    <t>Fuentes:</t>
  </si>
  <si>
    <t>Informes Trimestrales IAFA</t>
  </si>
  <si>
    <t>Informe de Liquidación 2010, Fodesaf</t>
  </si>
  <si>
    <t>PAO 2011 IAFA, Desaf</t>
  </si>
  <si>
    <t>Modificaciones presupuestarias 2011, Desaf.</t>
  </si>
  <si>
    <t>Notas:</t>
  </si>
  <si>
    <t>En los indicadores trimestrales no se toman en cuenta las modificaciones presupuestarias retroactivas; solamente en el anual.</t>
  </si>
  <si>
    <t>Informes de giros de recursos, Presupuesto, Desaf 2011</t>
  </si>
  <si>
    <t>Los datos de ingresos contemplan los giros de recursos que Desaf le hizo al IAFA, tanto por convenio como por ley.</t>
  </si>
  <si>
    <t xml:space="preserve">Gasto programado trimestral por beneficiario (GPB) </t>
  </si>
  <si>
    <t xml:space="preserve">Gasto efectivo trimestral por beneficiario (GEB) </t>
  </si>
  <si>
    <t xml:space="preserve">Gasto programado mensual por beneficiario (GPB) </t>
  </si>
  <si>
    <t xml:space="preserve">Gasto efectivo mensual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</si>
  <si>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</si>
  <si>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</si>
  <si>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acumulado al 3°T por beneficiario (GPB) </t>
  </si>
  <si>
    <t xml:space="preserve">Gasto efectivo acumulado al 3°T por beneficiario (GEB) </t>
  </si>
  <si>
    <t xml:space="preserve">Gasto programado anual por beneficiario (GPB) </t>
  </si>
  <si>
    <t xml:space="preserve">Gasto efectivo anual por beneficiario (GEB) </t>
  </si>
  <si>
    <t xml:space="preserve">Beneficiarios </t>
  </si>
  <si>
    <t>Personas diferentes</t>
  </si>
  <si>
    <t>Beneficiarios</t>
  </si>
  <si>
    <t>Para los indicadores de cobertura se utilizan las personas distintas que fueron recibidas y atendidas por el IAFA al menos una vez, hayan o no finalizado el proceso</t>
  </si>
  <si>
    <t>Para los indicadores de gasto medio y de crecimiento en beneficiarios se utiliza el promedio de personas que estuvieron internadas en el período.</t>
  </si>
  <si>
    <t>Población objetivo:</t>
  </si>
  <si>
    <t>Personas de 12 a 17 años pobres con problemas severos de adicción: No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</si>
</sst>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0" fillId="0" borderId="5" xfId="1" applyNumberFormat="1" applyFont="1" applyBorder="1" applyAlignment="1">
      <alignment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 wrapText="1"/>
    </xf>
    <xf numFmtId="164" fontId="0" fillId="0" borderId="10" xfId="1" applyNumberFormat="1" applyFont="1" applyBorder="1" applyAlignment="1">
      <alignment horizontal="center" wrapText="1"/>
    </xf>
    <xf numFmtId="164" fontId="0" fillId="0" borderId="11" xfId="1" applyNumberFormat="1" applyFont="1" applyBorder="1" applyAlignment="1">
      <alignment horizontal="center" vertical="center" wrapText="1"/>
    </xf>
    <xf numFmtId="164" fontId="2" fillId="0" borderId="0" xfId="1" applyNumberFormat="1" applyFont="1"/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/>
    </xf>
    <xf numFmtId="164" fontId="0" fillId="2" borderId="0" xfId="1" applyNumberFormat="1" applyFont="1" applyFill="1"/>
    <xf numFmtId="164" fontId="0" fillId="0" borderId="10" xfId="1" applyNumberFormat="1" applyFont="1" applyBorder="1"/>
    <xf numFmtId="164" fontId="0" fillId="0" borderId="0" xfId="1" applyNumberFormat="1" applyFont="1" applyFill="1" applyBorder="1"/>
    <xf numFmtId="164" fontId="0" fillId="0" borderId="0" xfId="1" applyNumberFormat="1" applyFont="1" applyAlignment="1">
      <alignment horizontal="left" indent="3"/>
    </xf>
    <xf numFmtId="164" fontId="5" fillId="0" borderId="5" xfId="1" applyNumberFormat="1" applyFont="1" applyBorder="1" applyAlignment="1">
      <alignment vertical="center"/>
    </xf>
    <xf numFmtId="164" fontId="5" fillId="0" borderId="7" xfId="1" applyNumberFormat="1" applyFont="1" applyBorder="1" applyAlignment="1">
      <alignment vertical="center" wrapText="1"/>
    </xf>
    <xf numFmtId="164" fontId="5" fillId="0" borderId="12" xfId="1" applyNumberFormat="1" applyFont="1" applyBorder="1" applyAlignment="1">
      <alignment vertical="center" wrapText="1"/>
    </xf>
    <xf numFmtId="164" fontId="5" fillId="0" borderId="0" xfId="1" applyNumberFormat="1" applyFont="1"/>
    <xf numFmtId="164" fontId="5" fillId="0" borderId="0" xfId="1" applyNumberFormat="1" applyFont="1" applyFill="1"/>
    <xf numFmtId="164" fontId="5" fillId="0" borderId="10" xfId="1" applyNumberFormat="1" applyFont="1" applyBorder="1"/>
    <xf numFmtId="164" fontId="3" fillId="0" borderId="0" xfId="1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1" xfId="1" applyNumberFormat="1" applyFont="1" applyBorder="1" applyAlignment="1">
      <alignment horizontal="center" vertical="center" wrapText="1"/>
    </xf>
    <xf numFmtId="164" fontId="0" fillId="0" borderId="8" xfId="1" applyNumberFormat="1" applyFont="1" applyBorder="1" applyAlignment="1">
      <alignment horizontal="center" vertical="center" wrapText="1"/>
    </xf>
    <xf numFmtId="164" fontId="0" fillId="0" borderId="0" xfId="1" applyNumberFormat="1" applyFont="1" applyFill="1" applyAlignment="1">
      <alignment horizontal="left"/>
    </xf>
    <xf numFmtId="164" fontId="0" fillId="0" borderId="0" xfId="1" applyNumberFormat="1" applyFont="1" applyFill="1" applyAlignment="1">
      <alignment horizontal="left" indent="1"/>
    </xf>
    <xf numFmtId="43" fontId="0" fillId="0" borderId="0" xfId="1" applyNumberFormat="1" applyFont="1" applyFill="1"/>
    <xf numFmtId="43" fontId="5" fillId="0" borderId="0" xfId="1" applyNumberFormat="1" applyFont="1" applyFill="1"/>
    <xf numFmtId="164" fontId="1" fillId="0" borderId="0" xfId="1" applyNumberFormat="1" applyFont="1" applyFill="1"/>
    <xf numFmtId="164" fontId="2" fillId="0" borderId="0" xfId="1" applyNumberFormat="1" applyFont="1" applyFill="1"/>
    <xf numFmtId="164" fontId="0" fillId="0" borderId="0" xfId="1" applyNumberFormat="1" applyFont="1" applyFill="1" applyAlignment="1">
      <alignment horizontal="left" indent="2"/>
    </xf>
    <xf numFmtId="164" fontId="0" fillId="0" borderId="1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R" sz="1400"/>
              <a:t>Indicadores de Resultado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543208906866747E-2"/>
          <c:y val="0.17351565110296266"/>
          <c:w val="0.5656211832623167"/>
          <c:h val="0.63658068460729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Anual!$A$47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invertIfNegative val="0"/>
          <c:cat>
            <c:strRef>
              <c:f>(Anual!$E$6,Anual!$H$5)</c:f>
              <c:strCache>
                <c:ptCount val="2"/>
                <c:pt idx="0">
                  <c:v>Internamiento</c:v>
                </c:pt>
                <c:pt idx="1">
                  <c:v>Seguimiento</c:v>
                </c:pt>
              </c:strCache>
            </c:strRef>
          </c:cat>
          <c:val>
            <c:numRef>
              <c:f>(Anual!$E$47,Anual!$H$47)</c:f>
              <c:numCache>
                <c:formatCode>_(* #,##0_);_(* \(#,##0\);_(* "-"??_);_(@_)</c:formatCode>
                <c:ptCount val="2"/>
                <c:pt idx="0">
                  <c:v>86.458333333333343</c:v>
                </c:pt>
                <c:pt idx="1">
                  <c:v>9.375</c:v>
                </c:pt>
              </c:numCache>
            </c:numRef>
          </c:val>
        </c:ser>
        <c:ser>
          <c:idx val="1"/>
          <c:order val="1"/>
          <c:tx>
            <c:strRef>
              <c:f>Anual!$A$48</c:f>
              <c:strCache>
                <c:ptCount val="1"/>
                <c:pt idx="0">
                  <c:v>Índice efectividad en gasto (IEG) </c:v>
                </c:pt>
              </c:strCache>
            </c:strRef>
          </c:tx>
          <c:invertIfNegative val="0"/>
          <c:cat>
            <c:strRef>
              <c:f>(Anual!$E$6,Anual!$H$5)</c:f>
              <c:strCache>
                <c:ptCount val="2"/>
                <c:pt idx="0">
                  <c:v>Internamiento</c:v>
                </c:pt>
                <c:pt idx="1">
                  <c:v>Seguimiento</c:v>
                </c:pt>
              </c:strCache>
            </c:strRef>
          </c:cat>
          <c:val>
            <c:numRef>
              <c:f>(Anual!$E$48,Anual!$H$48)</c:f>
              <c:numCache>
                <c:formatCode>_(* #,##0_);_(* \(#,##0\);_(* "-"??_);_(@_)</c:formatCode>
                <c:ptCount val="2"/>
                <c:pt idx="0">
                  <c:v>66.41056375343662</c:v>
                </c:pt>
                <c:pt idx="1">
                  <c:v>1.149440077931807</c:v>
                </c:pt>
              </c:numCache>
            </c:numRef>
          </c:val>
        </c:ser>
        <c:ser>
          <c:idx val="2"/>
          <c:order val="2"/>
          <c:tx>
            <c:strRef>
              <c:f>Anual!$A$49</c:f>
              <c:strCache>
                <c:ptCount val="1"/>
                <c:pt idx="0">
                  <c:v>Índice efectividad total (IET)</c:v>
                </c:pt>
              </c:strCache>
            </c:strRef>
          </c:tx>
          <c:invertIfNegative val="0"/>
          <c:cat>
            <c:strRef>
              <c:f>(Anual!$E$6,Anual!$H$5)</c:f>
              <c:strCache>
                <c:ptCount val="2"/>
                <c:pt idx="0">
                  <c:v>Internamiento</c:v>
                </c:pt>
                <c:pt idx="1">
                  <c:v>Seguimiento</c:v>
                </c:pt>
              </c:strCache>
            </c:strRef>
          </c:cat>
          <c:val>
            <c:numRef>
              <c:f>(Anual!$E$49,Anual!$H$49)</c:f>
              <c:numCache>
                <c:formatCode>_(* #,##0_);_(* \(#,##0\);_(* "-"??_);_(@_)</c:formatCode>
                <c:ptCount val="2"/>
                <c:pt idx="0">
                  <c:v>76.434448543384974</c:v>
                </c:pt>
                <c:pt idx="1">
                  <c:v>5.2622200389659035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29544"/>
        <c:axId val="200452896"/>
      </c:barChart>
      <c:catAx>
        <c:axId val="202329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452896"/>
        <c:crosses val="autoZero"/>
        <c:auto val="1"/>
        <c:lblAlgn val="ctr"/>
        <c:lblOffset val="100"/>
        <c:noMultiLvlLbl val="0"/>
      </c:catAx>
      <c:valAx>
        <c:axId val="20045289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202329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R" sz="1400"/>
              <a:t>Indicadores de Avance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885709830825609E-2"/>
          <c:y val="0.14966803983965529"/>
          <c:w val="0.57316597801512459"/>
          <c:h val="0.65294106277315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Anual!$A$52</c:f>
              <c:strCache>
                <c:ptCount val="1"/>
                <c:pt idx="0">
                  <c:v>Índice avance beneficiarios (IAB) </c:v>
                </c:pt>
              </c:strCache>
            </c:strRef>
          </c:tx>
          <c:invertIfNegative val="0"/>
          <c:cat>
            <c:strRef>
              <c:f>(Anual!$E$6,Anual!$H$5)</c:f>
              <c:strCache>
                <c:ptCount val="2"/>
                <c:pt idx="0">
                  <c:v>Internamiento</c:v>
                </c:pt>
                <c:pt idx="1">
                  <c:v>Seguimiento</c:v>
                </c:pt>
              </c:strCache>
            </c:strRef>
          </c:cat>
          <c:val>
            <c:numRef>
              <c:f>(Anual!$E$52,Anual!$H$52)</c:f>
              <c:numCache>
                <c:formatCode>_(* #,##0_);_(* \(#,##0\);_(* "-"??_);_(@_)</c:formatCode>
                <c:ptCount val="2"/>
                <c:pt idx="0">
                  <c:v>86.458333333333343</c:v>
                </c:pt>
                <c:pt idx="1">
                  <c:v>9.375</c:v>
                </c:pt>
              </c:numCache>
            </c:numRef>
          </c:val>
        </c:ser>
        <c:ser>
          <c:idx val="1"/>
          <c:order val="1"/>
          <c:tx>
            <c:strRef>
              <c:f>Anual!$A$53</c:f>
              <c:strCache>
                <c:ptCount val="1"/>
                <c:pt idx="0">
                  <c:v>Índice avance gasto (IAG)</c:v>
                </c:pt>
              </c:strCache>
            </c:strRef>
          </c:tx>
          <c:invertIfNegative val="0"/>
          <c:cat>
            <c:strRef>
              <c:f>(Anual!$E$6,Anual!$H$5)</c:f>
              <c:strCache>
                <c:ptCount val="2"/>
                <c:pt idx="0">
                  <c:v>Internamiento</c:v>
                </c:pt>
                <c:pt idx="1">
                  <c:v>Seguimiento</c:v>
                </c:pt>
              </c:strCache>
            </c:strRef>
          </c:cat>
          <c:val>
            <c:numRef>
              <c:f>(Anual!$E$53,Anual!$H$53)</c:f>
              <c:numCache>
                <c:formatCode>_(* #,##0_);_(* \(#,##0\);_(* "-"??_);_(@_)</c:formatCode>
                <c:ptCount val="2"/>
                <c:pt idx="0">
                  <c:v>88.376073616751782</c:v>
                </c:pt>
                <c:pt idx="1">
                  <c:v>1.3384965471779948</c:v>
                </c:pt>
              </c:numCache>
            </c:numRef>
          </c:val>
        </c:ser>
        <c:ser>
          <c:idx val="2"/>
          <c:order val="2"/>
          <c:tx>
            <c:strRef>
              <c:f>Anual!$A$54</c:f>
              <c:strCache>
                <c:ptCount val="1"/>
                <c:pt idx="0">
                  <c:v>Índice avance total (IAT) </c:v>
                </c:pt>
              </c:strCache>
            </c:strRef>
          </c:tx>
          <c:invertIfNegative val="0"/>
          <c:cat>
            <c:strRef>
              <c:f>(Anual!$E$6,Anual!$H$5)</c:f>
              <c:strCache>
                <c:ptCount val="2"/>
                <c:pt idx="0">
                  <c:v>Internamiento</c:v>
                </c:pt>
                <c:pt idx="1">
                  <c:v>Seguimiento</c:v>
                </c:pt>
              </c:strCache>
            </c:strRef>
          </c:cat>
          <c:val>
            <c:numRef>
              <c:f>(Anual!$E$54,Anual!$H$54)</c:f>
              <c:numCache>
                <c:formatCode>_(* #,##0_);_(* \(#,##0\);_(* "-"??_);_(@_)</c:formatCode>
                <c:ptCount val="2"/>
                <c:pt idx="0">
                  <c:v>87.417203475042555</c:v>
                </c:pt>
                <c:pt idx="1">
                  <c:v>5.3567482735889973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453680"/>
        <c:axId val="200454072"/>
      </c:barChart>
      <c:catAx>
        <c:axId val="200453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454072"/>
        <c:crosses val="autoZero"/>
        <c:auto val="1"/>
        <c:lblAlgn val="ctr"/>
        <c:lblOffset val="100"/>
        <c:noMultiLvlLbl val="0"/>
      </c:catAx>
      <c:valAx>
        <c:axId val="20045407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200453680"/>
        <c:crosses val="autoZero"/>
        <c:crossBetween val="between"/>
        <c:majorUnit val="2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R" sz="1400"/>
              <a:t>Indicadores de Expansión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9210620029280263E-2"/>
          <c:y val="0.15860344220289713"/>
          <c:w val="0.56709551695485338"/>
          <c:h val="0.64074991496401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Anual!$A$60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invertIfNegative val="0"/>
          <c:cat>
            <c:strRef>
              <c:f>Anual!$E$6:$F$6</c:f>
              <c:strCache>
                <c:ptCount val="2"/>
                <c:pt idx="0">
                  <c:v>Internamiento</c:v>
                </c:pt>
                <c:pt idx="1">
                  <c:v>Educación y terapia</c:v>
                </c:pt>
              </c:strCache>
            </c:strRef>
          </c:cat>
          <c:val>
            <c:numRef>
              <c:f>(Anual!$E$60,Anual!$F$60)</c:f>
              <c:numCache>
                <c:formatCode>_(* #,##0_);_(* \(#,##0\);_(* "-"??_);_(@_)</c:formatCode>
                <c:ptCount val="2"/>
                <c:pt idx="0">
                  <c:v>18.009478672985789</c:v>
                </c:pt>
                <c:pt idx="1">
                  <c:v>18.009478672985789</c:v>
                </c:pt>
              </c:numCache>
            </c:numRef>
          </c:val>
        </c:ser>
        <c:ser>
          <c:idx val="1"/>
          <c:order val="1"/>
          <c:tx>
            <c:strRef>
              <c:f>Anual!$A$61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invertIfNegative val="0"/>
          <c:cat>
            <c:strRef>
              <c:f>Anual!$E$6:$F$6</c:f>
              <c:strCache>
                <c:ptCount val="2"/>
                <c:pt idx="0">
                  <c:v>Internamiento</c:v>
                </c:pt>
                <c:pt idx="1">
                  <c:v>Educación y terapia</c:v>
                </c:pt>
              </c:strCache>
            </c:strRef>
          </c:cat>
          <c:val>
            <c:numRef>
              <c:f>Anual!$E$61:$F$61</c:f>
              <c:numCache>
                <c:formatCode>_(* #,##0_);_(* \(#,##0\);_(* "-"??_);_(@_)</c:formatCode>
                <c:ptCount val="2"/>
                <c:pt idx="0">
                  <c:v>525.73997213849589</c:v>
                </c:pt>
                <c:pt idx="1">
                  <c:v>361.75294283896449</c:v>
                </c:pt>
              </c:numCache>
            </c:numRef>
          </c:val>
        </c:ser>
        <c:ser>
          <c:idx val="2"/>
          <c:order val="2"/>
          <c:tx>
            <c:strRef>
              <c:f>Anual!$A$62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invertIfNegative val="0"/>
          <c:cat>
            <c:strRef>
              <c:f>Anual!$E$6:$F$6</c:f>
              <c:strCache>
                <c:ptCount val="2"/>
                <c:pt idx="0">
                  <c:v>Internamiento</c:v>
                </c:pt>
                <c:pt idx="1">
                  <c:v>Educación y terapia</c:v>
                </c:pt>
              </c:strCache>
            </c:strRef>
          </c:cat>
          <c:val>
            <c:numRef>
              <c:f>Anual!$E$62:$F$62</c:f>
              <c:numCache>
                <c:formatCode>_(* #,##0_);_(* \(#,##0\);_(* "-"??_);_(@_)</c:formatCode>
                <c:ptCount val="2"/>
                <c:pt idx="0">
                  <c:v>430.24551855912694</c:v>
                </c:pt>
                <c:pt idx="1">
                  <c:v>291.28462224506626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454856"/>
        <c:axId val="200455248"/>
      </c:barChart>
      <c:catAx>
        <c:axId val="200454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455248"/>
        <c:crosses val="autoZero"/>
        <c:auto val="1"/>
        <c:lblAlgn val="ctr"/>
        <c:lblOffset val="100"/>
        <c:noMultiLvlLbl val="0"/>
      </c:catAx>
      <c:valAx>
        <c:axId val="20045524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200454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Indicadores de Giro de Recursos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237903615856399E-2"/>
          <c:y val="0.16530008748906391"/>
          <c:w val="0.72852347694867414"/>
          <c:h val="0.49170951990236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Anual!$A$72</c:f>
              <c:strCache>
                <c:ptCount val="1"/>
                <c:pt idx="0">
                  <c:v>Índice de giro efectivo (IGE)</c:v>
                </c:pt>
              </c:strCache>
            </c:strRef>
          </c:tx>
          <c:invertIfNegative val="0"/>
          <c:cat>
            <c:strRef>
              <c:f>(Anual!$B$4,Anual!$C$4,Anual!$I$4)</c:f>
              <c:strCache>
                <c:ptCount val="3"/>
                <c:pt idx="0">
                  <c:v>Total IAFA</c:v>
                </c:pt>
                <c:pt idx="1">
                  <c:v>Atención adicciones a menores de edad</c:v>
                </c:pt>
                <c:pt idx="2">
                  <c:v>Prevención para el Consumo de Drogas</c:v>
                </c:pt>
              </c:strCache>
            </c:strRef>
          </c:cat>
          <c:val>
            <c:numRef>
              <c:f>(Anual!$B$72,Anual!$C$72,Anual!$I$72)</c:f>
              <c:numCache>
                <c:formatCode>_(* #,##0_);_(* \(#,##0\);_(* "-"??_);_(@_)</c:formatCode>
                <c:ptCount val="3"/>
                <c:pt idx="0">
                  <c:v>61.517404339740047</c:v>
                </c:pt>
                <c:pt idx="1">
                  <c:v>57.075179251209228</c:v>
                </c:pt>
                <c:pt idx="2">
                  <c:v>94.051880437533342</c:v>
                </c:pt>
              </c:numCache>
            </c:numRef>
          </c:val>
        </c:ser>
        <c:ser>
          <c:idx val="1"/>
          <c:order val="1"/>
          <c:tx>
            <c:strRef>
              <c:f>Anual!$A$73</c:f>
              <c:strCache>
                <c:ptCount val="1"/>
                <c:pt idx="0">
                  <c:v>Índice de uso de recursos (IUR) </c:v>
                </c:pt>
              </c:strCache>
            </c:strRef>
          </c:tx>
          <c:invertIfNegative val="0"/>
          <c:cat>
            <c:strRef>
              <c:f>(Anual!$B$4,Anual!$C$4,Anual!$I$4)</c:f>
              <c:strCache>
                <c:ptCount val="3"/>
                <c:pt idx="0">
                  <c:v>Total IAFA</c:v>
                </c:pt>
                <c:pt idx="1">
                  <c:v>Atención adicciones a menores de edad</c:v>
                </c:pt>
                <c:pt idx="2">
                  <c:v>Prevención para el Consumo de Drogas</c:v>
                </c:pt>
              </c:strCache>
            </c:strRef>
          </c:cat>
          <c:val>
            <c:numRef>
              <c:f>(Anual!$B$73,Anual!$C$73,Anual!$I$73)</c:f>
              <c:numCache>
                <c:formatCode>_(* #,##0_);_(* \(#,##0\);_(* "-"??_);_(@_)</c:formatCode>
                <c:ptCount val="3"/>
                <c:pt idx="0">
                  <c:v>95.176834075384278</c:v>
                </c:pt>
                <c:pt idx="1">
                  <c:v>84.396764183005217</c:v>
                </c:pt>
                <c:pt idx="2">
                  <c:v>143.08887099655894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456032"/>
        <c:axId val="200456424"/>
      </c:barChart>
      <c:catAx>
        <c:axId val="200456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456424"/>
        <c:crosses val="autoZero"/>
        <c:auto val="1"/>
        <c:lblAlgn val="ctr"/>
        <c:lblOffset val="100"/>
        <c:noMultiLvlLbl val="0"/>
      </c:catAx>
      <c:valAx>
        <c:axId val="20045642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20045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143454119832071"/>
          <c:y val="0.80407594050743669"/>
          <c:w val="0.77221691268935388"/>
          <c:h val="8.036850393700785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279400</xdr:colOff>
      <xdr:row>1</xdr:row>
      <xdr:rowOff>133348</xdr:rowOff>
    </xdr:from>
    <xdr:to>
      <xdr:col>18</xdr:col>
      <xdr:colOff>38100</xdr:colOff>
      <xdr:row>15</xdr:row>
      <xdr:rowOff>126999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254000</xdr:colOff>
      <xdr:row>16</xdr:row>
      <xdr:rowOff>69848</xdr:rowOff>
    </xdr:from>
    <xdr:to>
      <xdr:col>18</xdr:col>
      <xdr:colOff>50800</xdr:colOff>
      <xdr:row>32</xdr:row>
      <xdr:rowOff>177799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304800</xdr:colOff>
      <xdr:row>33</xdr:row>
      <xdr:rowOff>82548</xdr:rowOff>
    </xdr:from>
    <xdr:to>
      <xdr:col>18</xdr:col>
      <xdr:colOff>25400</xdr:colOff>
      <xdr:row>49</xdr:row>
      <xdr:rowOff>12699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304800</xdr:colOff>
      <xdr:row>49</xdr:row>
      <xdr:rowOff>152400</xdr:rowOff>
    </xdr:from>
    <xdr:to>
      <xdr:col>18</xdr:col>
      <xdr:colOff>139700</xdr:colOff>
      <xdr:row>67</xdr:row>
      <xdr:rowOff>23812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0.8656</cdr:y>
    </cdr:from>
    <cdr:to>
      <cdr:x>0.91403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663761"/>
          <a:ext cx="4654892" cy="413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/>
            <a:t>Fuente: Elaboración</a:t>
          </a:r>
          <a:r>
            <a:rPr lang="es-CR" sz="1100" baseline="0"/>
            <a:t> del IICE con información de Desaf y Unidades Ejecutoras</a:t>
          </a:r>
          <a:endParaRPr lang="es-CR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0.00294</cdr:x>
      <cdr:y>0.86894</cdr:y>
    </cdr:from>
    <cdr:to>
      <cdr:x>0.91018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5081" y="2742342"/>
          <a:ext cx="4654892" cy="413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/>
            <a:t>Fuente: Elaboración</a:t>
          </a:r>
          <a:r>
            <a:rPr lang="es-CR" sz="1100" baseline="0"/>
            <a:t> del IICE con información de Desaf y Unidades Ejecutoras</a:t>
          </a:r>
          <a:endParaRPr lang="es-CR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0.04538</cdr:x>
      <cdr:y>0.86112</cdr:y>
    </cdr:from>
    <cdr:to>
      <cdr:x>0.96631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29394" y="2564542"/>
          <a:ext cx="4654892" cy="413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/>
            <a:t>Fuente: Elaboración</a:t>
          </a:r>
          <a:r>
            <a:rPr lang="es-CR" sz="1100" baseline="0"/>
            <a:t> del IICE con información de Desaf , unidades ejecutoras e INEC</a:t>
          </a:r>
          <a:endParaRPr lang="es-CR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0.03747</cdr:x>
      <cdr:y>0.90083</cdr:y>
    </cdr:from>
    <cdr:to>
      <cdr:x>0.93803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3679" y="2574122"/>
          <a:ext cx="4654904" cy="2833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/>
            <a:t>Fuente: Elaboración</a:t>
          </a:r>
          <a:r>
            <a:rPr lang="es-CR" sz="1100" baseline="0"/>
            <a:t> del IICE con información de Desaf y Unidades Ejecutoras</a:t>
          </a:r>
          <a:endParaRPr lang="es-CR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9"/>
  <sheetViews>
    <sheetView tabSelected="1" topLeftCell="A64" zoomScale="90" zoomScaleNormal="90" workbookViewId="0">
      <selection activeCell="F28" sqref="F28"/>
    </sheetView>
  </sheetViews>
  <sheetFormatPr baseColWidth="10" defaultColWidth="11.42578125" defaultRowHeight="15" x14ac:dyDescent="0.25"/>
  <cols>
    <col min="1" max="1" width="50.85546875" style="2" customWidth="1"/>
    <col min="2" max="7" width="13.7109375" style="2" customWidth="1"/>
    <col min="8" max="8" width="13.7109375" style="21" customWidth="1"/>
    <col min="9" max="10" width="13.7109375" style="2" customWidth="1"/>
    <col min="11" max="11" width="14" style="2" customWidth="1"/>
    <col min="12" max="16384" width="11.42578125" style="2"/>
  </cols>
  <sheetData>
    <row r="2" spans="1:11" ht="15.75" x14ac:dyDescent="0.25">
      <c r="A2" s="24" t="s">
        <v>61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 ht="20.100000000000001" customHeight="1" x14ac:dyDescent="0.25">
      <c r="A4" s="25" t="s">
        <v>0</v>
      </c>
      <c r="B4" s="28" t="s">
        <v>1</v>
      </c>
      <c r="C4" s="3" t="s">
        <v>2</v>
      </c>
      <c r="D4" s="4"/>
      <c r="E4" s="4"/>
      <c r="F4" s="4"/>
      <c r="G4" s="4"/>
      <c r="H4" s="18"/>
      <c r="I4" s="31" t="s">
        <v>3</v>
      </c>
      <c r="J4" s="32"/>
      <c r="K4" s="33"/>
    </row>
    <row r="5" spans="1:11" ht="20.100000000000001" customHeight="1" x14ac:dyDescent="0.25">
      <c r="A5" s="26"/>
      <c r="B5" s="29"/>
      <c r="C5" s="34" t="s">
        <v>4</v>
      </c>
      <c r="D5" s="3" t="s">
        <v>5</v>
      </c>
      <c r="E5" s="4"/>
      <c r="F5" s="4"/>
      <c r="G5" s="5"/>
      <c r="H5" s="19" t="s">
        <v>6</v>
      </c>
      <c r="I5" s="36" t="s">
        <v>4</v>
      </c>
      <c r="J5" s="38" t="s">
        <v>7</v>
      </c>
      <c r="K5" s="40" t="s">
        <v>8</v>
      </c>
    </row>
    <row r="6" spans="1:11" ht="45.75" thickBot="1" x14ac:dyDescent="0.3">
      <c r="A6" s="27"/>
      <c r="B6" s="30"/>
      <c r="C6" s="35"/>
      <c r="D6" s="6" t="s">
        <v>4</v>
      </c>
      <c r="E6" s="7" t="s">
        <v>9</v>
      </c>
      <c r="F6" s="8" t="s">
        <v>10</v>
      </c>
      <c r="G6" s="9" t="s">
        <v>11</v>
      </c>
      <c r="H6" s="20"/>
      <c r="I6" s="37"/>
      <c r="J6" s="39"/>
      <c r="K6" s="41"/>
    </row>
    <row r="7" spans="1:11" ht="15.75" thickTop="1" x14ac:dyDescent="0.25"/>
    <row r="8" spans="1:11" x14ac:dyDescent="0.25">
      <c r="A8" s="10" t="s">
        <v>12</v>
      </c>
    </row>
    <row r="10" spans="1:11" x14ac:dyDescent="0.25">
      <c r="A10" s="2" t="s">
        <v>138</v>
      </c>
    </row>
    <row r="11" spans="1:11" x14ac:dyDescent="0.25">
      <c r="A11" s="11" t="s">
        <v>51</v>
      </c>
      <c r="B11" s="1">
        <f t="shared" ref="B11:B16" si="0">C11+I11</f>
        <v>13.333333333333334</v>
      </c>
      <c r="C11" s="1">
        <f t="shared" ref="C11:C15" si="1">D11+H11</f>
        <v>13.333333333333334</v>
      </c>
      <c r="D11" s="1">
        <f t="shared" ref="D11:D16" si="2">E11</f>
        <v>13.333333333333334</v>
      </c>
      <c r="E11" s="1">
        <f>(14+10+16)/3</f>
        <v>13.333333333333334</v>
      </c>
      <c r="F11" s="1">
        <f>(14+10+16)/3</f>
        <v>13.333333333333334</v>
      </c>
      <c r="G11" s="1">
        <f>(14+10+16)/3</f>
        <v>13.333333333333334</v>
      </c>
      <c r="H11" s="22">
        <v>0</v>
      </c>
      <c r="I11" s="1">
        <f t="shared" ref="I11:I16" si="3">SUM(J11:K11)</f>
        <v>0</v>
      </c>
      <c r="J11" s="1">
        <v>0</v>
      </c>
      <c r="K11" s="1">
        <v>0</v>
      </c>
    </row>
    <row r="12" spans="1:11" x14ac:dyDescent="0.25">
      <c r="A12" s="12" t="s">
        <v>139</v>
      </c>
      <c r="B12" s="1">
        <f t="shared" si="0"/>
        <v>36</v>
      </c>
      <c r="C12" s="1">
        <f t="shared" si="1"/>
        <v>36</v>
      </c>
      <c r="D12" s="1">
        <f t="shared" si="2"/>
        <v>36</v>
      </c>
      <c r="E12" s="1">
        <f>18+9+9</f>
        <v>36</v>
      </c>
      <c r="F12" s="1">
        <f>18+9+9</f>
        <v>36</v>
      </c>
      <c r="G12" s="1">
        <f>18+9+9</f>
        <v>36</v>
      </c>
      <c r="H12" s="22">
        <v>0</v>
      </c>
      <c r="I12" s="1">
        <f t="shared" si="3"/>
        <v>0</v>
      </c>
      <c r="J12" s="1">
        <v>0</v>
      </c>
      <c r="K12" s="1">
        <v>0</v>
      </c>
    </row>
    <row r="13" spans="1:11" x14ac:dyDescent="0.25">
      <c r="A13" s="11" t="s">
        <v>52</v>
      </c>
      <c r="B13" s="1">
        <f t="shared" si="0"/>
        <v>48</v>
      </c>
      <c r="C13" s="1">
        <f t="shared" si="1"/>
        <v>48</v>
      </c>
      <c r="D13" s="1">
        <f t="shared" si="2"/>
        <v>24</v>
      </c>
      <c r="E13" s="2">
        <f>24</f>
        <v>24</v>
      </c>
      <c r="F13" s="2">
        <f>24</f>
        <v>24</v>
      </c>
      <c r="G13" s="2">
        <f>24</f>
        <v>24</v>
      </c>
      <c r="H13" s="21">
        <v>24</v>
      </c>
      <c r="I13" s="1">
        <f t="shared" si="3"/>
        <v>0</v>
      </c>
      <c r="J13" s="2">
        <v>0</v>
      </c>
      <c r="K13" s="2">
        <v>0</v>
      </c>
    </row>
    <row r="14" spans="1:11" x14ac:dyDescent="0.25">
      <c r="A14" s="11" t="s">
        <v>53</v>
      </c>
      <c r="B14" s="2">
        <f t="shared" si="0"/>
        <v>21.333333333333332</v>
      </c>
      <c r="C14" s="2">
        <f t="shared" si="1"/>
        <v>21.333333333333332</v>
      </c>
      <c r="D14" s="1">
        <f t="shared" si="2"/>
        <v>21.333333333333332</v>
      </c>
      <c r="E14" s="2">
        <f>64/3</f>
        <v>21.333333333333332</v>
      </c>
      <c r="F14" s="2">
        <f>64/3</f>
        <v>21.333333333333332</v>
      </c>
      <c r="G14" s="2">
        <f>64/3</f>
        <v>21.333333333333332</v>
      </c>
      <c r="H14" s="21">
        <v>0</v>
      </c>
      <c r="I14" s="1">
        <f t="shared" si="3"/>
        <v>0</v>
      </c>
      <c r="J14" s="1">
        <v>0</v>
      </c>
      <c r="K14" s="1">
        <v>0</v>
      </c>
    </row>
    <row r="15" spans="1:11" x14ac:dyDescent="0.25">
      <c r="A15" s="12" t="s">
        <v>139</v>
      </c>
      <c r="B15" s="1">
        <f t="shared" si="0"/>
        <v>52</v>
      </c>
      <c r="C15" s="1">
        <f t="shared" si="1"/>
        <v>52</v>
      </c>
      <c r="D15" s="1">
        <f t="shared" si="2"/>
        <v>52</v>
      </c>
      <c r="E15" s="2">
        <f>25+10+17</f>
        <v>52</v>
      </c>
      <c r="F15" s="2">
        <f>25+10+17</f>
        <v>52</v>
      </c>
      <c r="G15" s="2">
        <f>25+10+17</f>
        <v>52</v>
      </c>
      <c r="H15" s="21">
        <v>0</v>
      </c>
      <c r="I15" s="1">
        <f t="shared" si="3"/>
        <v>0</v>
      </c>
      <c r="J15" s="2">
        <v>0</v>
      </c>
      <c r="K15" s="1">
        <v>0</v>
      </c>
    </row>
    <row r="16" spans="1:11" x14ac:dyDescent="0.25">
      <c r="A16" s="11" t="s">
        <v>16</v>
      </c>
      <c r="B16" s="2">
        <f t="shared" si="0"/>
        <v>679</v>
      </c>
      <c r="C16" s="1">
        <f>D16+H16</f>
        <v>192</v>
      </c>
      <c r="D16" s="1">
        <f t="shared" si="2"/>
        <v>96</v>
      </c>
      <c r="E16" s="2">
        <f>24*4</f>
        <v>96</v>
      </c>
      <c r="F16" s="2">
        <f>24*4</f>
        <v>96</v>
      </c>
      <c r="G16" s="2">
        <f>24*4</f>
        <v>96</v>
      </c>
      <c r="H16" s="22">
        <f>24*4</f>
        <v>96</v>
      </c>
      <c r="I16" s="1">
        <f t="shared" si="3"/>
        <v>487</v>
      </c>
      <c r="J16" s="2">
        <v>0</v>
      </c>
      <c r="K16" s="2">
        <v>487</v>
      </c>
    </row>
    <row r="17" spans="1:13" x14ac:dyDescent="0.25">
      <c r="I17" s="1"/>
    </row>
    <row r="18" spans="1:13" x14ac:dyDescent="0.25">
      <c r="A18" s="13" t="s">
        <v>17</v>
      </c>
      <c r="I18" s="1"/>
    </row>
    <row r="19" spans="1:13" x14ac:dyDescent="0.25">
      <c r="A19" s="11" t="s">
        <v>51</v>
      </c>
      <c r="B19" s="1">
        <f>C19+I19</f>
        <v>1540531.7000000002</v>
      </c>
      <c r="C19" s="1">
        <f>D19+H19</f>
        <v>1540531.7000000002</v>
      </c>
      <c r="D19" s="1">
        <f>SUM(E19:G19)</f>
        <v>1540531.7000000002</v>
      </c>
      <c r="E19" s="1">
        <f>539180.1+269590+269590</f>
        <v>1078360.1000000001</v>
      </c>
      <c r="F19" s="1">
        <f>231085.8+115542.9+115542.9</f>
        <v>462171.6</v>
      </c>
      <c r="G19" s="1">
        <v>0</v>
      </c>
      <c r="H19" s="22">
        <v>0</v>
      </c>
      <c r="I19" s="1">
        <f t="shared" ref="I19:I22" si="4">SUM(J19:K19)</f>
        <v>0</v>
      </c>
      <c r="J19" s="1">
        <v>0</v>
      </c>
      <c r="K19" s="1">
        <v>0</v>
      </c>
    </row>
    <row r="20" spans="1:13" x14ac:dyDescent="0.25">
      <c r="A20" s="11" t="s">
        <v>52</v>
      </c>
      <c r="B20" s="2">
        <f>C20+I20</f>
        <v>24999999.990000002</v>
      </c>
      <c r="C20" s="2">
        <f>D20+H20</f>
        <v>24999999.990000002</v>
      </c>
      <c r="D20" s="2">
        <f>SUM(E20:G20)</f>
        <v>20250000</v>
      </c>
      <c r="E20" s="2">
        <v>10425000</v>
      </c>
      <c r="F20" s="2">
        <v>2325000</v>
      </c>
      <c r="G20" s="2">
        <v>7500000</v>
      </c>
      <c r="H20" s="21">
        <v>4749999.99</v>
      </c>
      <c r="I20" s="1">
        <f t="shared" si="4"/>
        <v>0</v>
      </c>
      <c r="J20" s="2">
        <v>0</v>
      </c>
      <c r="K20" s="2">
        <v>0</v>
      </c>
    </row>
    <row r="21" spans="1:13" x14ac:dyDescent="0.25">
      <c r="A21" s="11" t="s">
        <v>53</v>
      </c>
      <c r="B21" s="2">
        <f>C21+I21</f>
        <v>4638672.5</v>
      </c>
      <c r="C21" s="2">
        <f>D21+H21</f>
        <v>4638672.5</v>
      </c>
      <c r="D21" s="2">
        <f>SUM(E21:G21)</f>
        <v>4638672.5</v>
      </c>
      <c r="E21" s="1">
        <v>2528672.5</v>
      </c>
      <c r="F21" s="1">
        <v>0</v>
      </c>
      <c r="G21" s="1">
        <v>2110000</v>
      </c>
      <c r="H21" s="22">
        <v>0</v>
      </c>
      <c r="I21" s="1">
        <f>SUM(J21:K21)</f>
        <v>0</v>
      </c>
      <c r="J21" s="1">
        <v>0</v>
      </c>
      <c r="K21" s="1">
        <v>0</v>
      </c>
      <c r="M21" s="1"/>
    </row>
    <row r="22" spans="1:13" x14ac:dyDescent="0.25">
      <c r="A22" s="11" t="s">
        <v>16</v>
      </c>
      <c r="B22" s="2">
        <f>C22+I22</f>
        <v>111987626</v>
      </c>
      <c r="C22" s="2">
        <f>D22+H22</f>
        <v>100000000</v>
      </c>
      <c r="D22" s="2">
        <f>SUM(E22:G22)</f>
        <v>81000000</v>
      </c>
      <c r="E22" s="2">
        <v>41700000</v>
      </c>
      <c r="F22" s="2">
        <v>9300000</v>
      </c>
      <c r="G22" s="2">
        <v>30000000</v>
      </c>
      <c r="H22" s="21">
        <v>19000000</v>
      </c>
      <c r="I22" s="1">
        <f t="shared" si="4"/>
        <v>11987626</v>
      </c>
      <c r="J22" s="2">
        <v>9017626</v>
      </c>
      <c r="K22" s="2">
        <v>2970000</v>
      </c>
    </row>
    <row r="23" spans="1:13" x14ac:dyDescent="0.25">
      <c r="A23" s="11" t="s">
        <v>54</v>
      </c>
    </row>
    <row r="25" spans="1:13" s="1" customFormat="1" x14ac:dyDescent="0.25">
      <c r="A25" s="43" t="s">
        <v>19</v>
      </c>
      <c r="H25" s="22"/>
    </row>
    <row r="26" spans="1:13" s="1" customFormat="1" x14ac:dyDescent="0.25">
      <c r="A26" s="44" t="s">
        <v>52</v>
      </c>
      <c r="B26" s="1">
        <f>B20</f>
        <v>24999999.990000002</v>
      </c>
      <c r="C26" s="1">
        <f>C20</f>
        <v>24999999.990000002</v>
      </c>
      <c r="H26" s="22"/>
      <c r="I26" s="1">
        <f>I20</f>
        <v>0</v>
      </c>
    </row>
    <row r="27" spans="1:13" s="1" customFormat="1" x14ac:dyDescent="0.25">
      <c r="A27" s="44" t="s">
        <v>53</v>
      </c>
      <c r="B27" s="1">
        <f>+C27+I27</f>
        <v>0</v>
      </c>
      <c r="C27" s="1">
        <v>0</v>
      </c>
      <c r="H27" s="22"/>
      <c r="I27" s="1">
        <v>0</v>
      </c>
      <c r="K27" s="1">
        <v>0</v>
      </c>
    </row>
    <row r="29" spans="1:13" x14ac:dyDescent="0.25">
      <c r="A29" s="2" t="s">
        <v>20</v>
      </c>
    </row>
    <row r="30" spans="1:13" s="1" customFormat="1" x14ac:dyDescent="0.25">
      <c r="A30" s="44" t="s">
        <v>55</v>
      </c>
      <c r="B30" s="45">
        <v>1.3815</v>
      </c>
      <c r="C30" s="45">
        <v>1.3815</v>
      </c>
      <c r="D30" s="45">
        <v>1.3815</v>
      </c>
      <c r="E30" s="45">
        <v>1.3815</v>
      </c>
      <c r="F30" s="45">
        <v>1.3815</v>
      </c>
      <c r="G30" s="45">
        <v>1.3815</v>
      </c>
      <c r="H30" s="46">
        <v>1.3815</v>
      </c>
      <c r="I30" s="45">
        <v>1.3815</v>
      </c>
      <c r="J30" s="45">
        <v>1.3815</v>
      </c>
      <c r="K30" s="45">
        <v>1.3815</v>
      </c>
    </row>
    <row r="31" spans="1:13" s="1" customFormat="1" x14ac:dyDescent="0.25">
      <c r="A31" s="44" t="s">
        <v>56</v>
      </c>
      <c r="B31" s="45">
        <v>1.4459333333333333</v>
      </c>
      <c r="C31" s="45">
        <v>1.4459333333333333</v>
      </c>
      <c r="D31" s="45">
        <v>1.4459333333333333</v>
      </c>
      <c r="E31" s="45">
        <v>1.4459333333333333</v>
      </c>
      <c r="F31" s="45">
        <v>1.4459333333333333</v>
      </c>
      <c r="G31" s="45">
        <v>1.4459333333333333</v>
      </c>
      <c r="H31" s="46">
        <v>1.4459333333333333</v>
      </c>
      <c r="I31" s="45">
        <v>1.4459333333333333</v>
      </c>
      <c r="J31" s="45">
        <v>1.4459333333333333</v>
      </c>
      <c r="K31" s="45">
        <v>1.4459333333333333</v>
      </c>
    </row>
    <row r="32" spans="1:13" x14ac:dyDescent="0.25">
      <c r="A32" s="11" t="s">
        <v>23</v>
      </c>
      <c r="C32" s="47"/>
      <c r="D32" s="47"/>
      <c r="E32" s="47"/>
      <c r="F32" s="47"/>
      <c r="G32" s="47"/>
      <c r="H32" s="22"/>
      <c r="I32" s="47"/>
      <c r="J32" s="47"/>
      <c r="K32" s="47"/>
    </row>
    <row r="34" spans="1:11" x14ac:dyDescent="0.25">
      <c r="A34" s="48" t="s">
        <v>24</v>
      </c>
      <c r="B34" s="1"/>
      <c r="C34" s="1"/>
      <c r="D34" s="1"/>
      <c r="E34" s="1"/>
      <c r="F34" s="1"/>
      <c r="G34" s="1"/>
      <c r="H34" s="22"/>
      <c r="I34" s="1"/>
      <c r="J34" s="1"/>
      <c r="K34" s="1"/>
    </row>
    <row r="35" spans="1:11" x14ac:dyDescent="0.25">
      <c r="A35" s="1" t="s">
        <v>57</v>
      </c>
      <c r="B35" s="1">
        <f>B19/B30</f>
        <v>1115115.2370611655</v>
      </c>
      <c r="C35" s="1">
        <f t="shared" ref="C35:K35" si="5">C19/C30</f>
        <v>1115115.2370611655</v>
      </c>
      <c r="D35" s="1">
        <f>D19/D30</f>
        <v>1115115.2370611655</v>
      </c>
      <c r="E35" s="1">
        <f t="shared" si="5"/>
        <v>780571.91458559548</v>
      </c>
      <c r="F35" s="1">
        <f t="shared" si="5"/>
        <v>334543.32247557002</v>
      </c>
      <c r="G35" s="1">
        <f t="shared" si="5"/>
        <v>0</v>
      </c>
      <c r="H35" s="22">
        <f t="shared" si="5"/>
        <v>0</v>
      </c>
      <c r="I35" s="1">
        <f t="shared" si="5"/>
        <v>0</v>
      </c>
      <c r="J35" s="1">
        <f t="shared" si="5"/>
        <v>0</v>
      </c>
      <c r="K35" s="1">
        <f t="shared" si="5"/>
        <v>0</v>
      </c>
    </row>
    <row r="36" spans="1:11" x14ac:dyDescent="0.25">
      <c r="A36" s="1" t="s">
        <v>58</v>
      </c>
      <c r="B36" s="1">
        <f t="shared" ref="B36:I36" si="6">B21/B31</f>
        <v>3208081.8617732492</v>
      </c>
      <c r="C36" s="1">
        <f t="shared" si="6"/>
        <v>3208081.8617732492</v>
      </c>
      <c r="D36" s="1">
        <f t="shared" si="6"/>
        <v>3208081.8617732492</v>
      </c>
      <c r="E36" s="1">
        <f t="shared" si="6"/>
        <v>1748816.7965328046</v>
      </c>
      <c r="F36" s="1">
        <f t="shared" si="6"/>
        <v>0</v>
      </c>
      <c r="G36" s="1">
        <f>G21/G31</f>
        <v>1459265.0652404446</v>
      </c>
      <c r="H36" s="22">
        <f t="shared" si="6"/>
        <v>0</v>
      </c>
      <c r="I36" s="1">
        <f t="shared" si="6"/>
        <v>0</v>
      </c>
      <c r="J36" s="1">
        <f>J21/J31</f>
        <v>0</v>
      </c>
      <c r="K36" s="1">
        <f>K21/K31</f>
        <v>0</v>
      </c>
    </row>
    <row r="37" spans="1:11" x14ac:dyDescent="0.25">
      <c r="A37" s="1" t="s">
        <v>59</v>
      </c>
      <c r="B37" s="1">
        <f t="shared" ref="B37:K37" si="7">B35/B11</f>
        <v>83633.642779587404</v>
      </c>
      <c r="C37" s="1">
        <f t="shared" si="7"/>
        <v>83633.642779587404</v>
      </c>
      <c r="D37" s="1">
        <f t="shared" si="7"/>
        <v>83633.642779587404</v>
      </c>
      <c r="E37" s="1">
        <f t="shared" si="7"/>
        <v>58542.89359391966</v>
      </c>
      <c r="F37" s="1">
        <f t="shared" si="7"/>
        <v>25090.749185667752</v>
      </c>
      <c r="G37" s="1">
        <f t="shared" si="7"/>
        <v>0</v>
      </c>
      <c r="H37" s="22" t="e">
        <f t="shared" si="7"/>
        <v>#DIV/0!</v>
      </c>
      <c r="I37" s="1" t="e">
        <f t="shared" si="7"/>
        <v>#DIV/0!</v>
      </c>
      <c r="J37" s="1" t="e">
        <f t="shared" si="7"/>
        <v>#DIV/0!</v>
      </c>
      <c r="K37" s="1" t="e">
        <f t="shared" si="7"/>
        <v>#DIV/0!</v>
      </c>
    </row>
    <row r="38" spans="1:11" x14ac:dyDescent="0.25">
      <c r="A38" s="1" t="s">
        <v>60</v>
      </c>
      <c r="B38" s="1">
        <f t="shared" ref="B38:K38" si="8">B36/B14</f>
        <v>150378.83727062106</v>
      </c>
      <c r="C38" s="1">
        <f t="shared" si="8"/>
        <v>150378.83727062106</v>
      </c>
      <c r="D38" s="1">
        <f t="shared" si="8"/>
        <v>150378.83727062106</v>
      </c>
      <c r="E38" s="1">
        <f t="shared" si="8"/>
        <v>81975.787337475223</v>
      </c>
      <c r="F38" s="1">
        <f t="shared" si="8"/>
        <v>0</v>
      </c>
      <c r="G38" s="1">
        <f t="shared" si="8"/>
        <v>68403.049933145841</v>
      </c>
      <c r="H38" s="22" t="e">
        <f t="shared" si="8"/>
        <v>#DIV/0!</v>
      </c>
      <c r="I38" s="1" t="e">
        <f t="shared" si="8"/>
        <v>#DIV/0!</v>
      </c>
      <c r="J38" s="1" t="e">
        <f t="shared" si="8"/>
        <v>#DIV/0!</v>
      </c>
      <c r="K38" s="1" t="e">
        <f t="shared" si="8"/>
        <v>#DIV/0!</v>
      </c>
    </row>
    <row r="40" spans="1:11" x14ac:dyDescent="0.25">
      <c r="A40" s="10" t="s">
        <v>29</v>
      </c>
    </row>
    <row r="42" spans="1:11" x14ac:dyDescent="0.25">
      <c r="A42" s="2" t="s">
        <v>30</v>
      </c>
    </row>
    <row r="43" spans="1:11" x14ac:dyDescent="0.25">
      <c r="A43" s="2" t="s">
        <v>31</v>
      </c>
      <c r="C43" s="2" t="e">
        <f t="shared" ref="C43:K43" si="9">(C13/C32)*100</f>
        <v>#DIV/0!</v>
      </c>
      <c r="D43" s="2" t="e">
        <f t="shared" si="9"/>
        <v>#DIV/0!</v>
      </c>
      <c r="E43" s="2" t="e">
        <f t="shared" si="9"/>
        <v>#DIV/0!</v>
      </c>
      <c r="F43" s="2" t="e">
        <f t="shared" si="9"/>
        <v>#DIV/0!</v>
      </c>
      <c r="G43" s="2" t="e">
        <f t="shared" si="9"/>
        <v>#DIV/0!</v>
      </c>
      <c r="H43" s="21" t="e">
        <f t="shared" si="9"/>
        <v>#DIV/0!</v>
      </c>
      <c r="I43" s="2" t="e">
        <f t="shared" si="9"/>
        <v>#DIV/0!</v>
      </c>
      <c r="J43" s="2" t="e">
        <f t="shared" si="9"/>
        <v>#DIV/0!</v>
      </c>
      <c r="K43" s="2" t="e">
        <f t="shared" si="9"/>
        <v>#DIV/0!</v>
      </c>
    </row>
    <row r="44" spans="1:11" x14ac:dyDescent="0.25">
      <c r="A44" s="2" t="s">
        <v>32</v>
      </c>
      <c r="C44" s="2" t="e">
        <f>(C15/C32)*100</f>
        <v>#DIV/0!</v>
      </c>
      <c r="D44" s="2" t="e">
        <f t="shared" ref="D44:K44" si="10">(D15/D32)*100</f>
        <v>#DIV/0!</v>
      </c>
      <c r="E44" s="2" t="e">
        <f t="shared" si="10"/>
        <v>#DIV/0!</v>
      </c>
      <c r="F44" s="2" t="e">
        <f t="shared" si="10"/>
        <v>#DIV/0!</v>
      </c>
      <c r="G44" s="2" t="e">
        <f t="shared" si="10"/>
        <v>#DIV/0!</v>
      </c>
      <c r="H44" s="21" t="e">
        <f t="shared" si="10"/>
        <v>#DIV/0!</v>
      </c>
      <c r="I44" s="2" t="e">
        <f t="shared" si="10"/>
        <v>#DIV/0!</v>
      </c>
      <c r="J44" s="2" t="e">
        <f t="shared" si="10"/>
        <v>#DIV/0!</v>
      </c>
      <c r="K44" s="2" t="e">
        <f t="shared" si="10"/>
        <v>#DIV/0!</v>
      </c>
    </row>
    <row r="46" spans="1:11" x14ac:dyDescent="0.25">
      <c r="A46" s="2" t="s">
        <v>33</v>
      </c>
    </row>
    <row r="47" spans="1:11" x14ac:dyDescent="0.25">
      <c r="A47" s="2" t="s">
        <v>34</v>
      </c>
      <c r="B47" s="2">
        <f t="shared" ref="B47:K47" si="11">B14/B13*100</f>
        <v>44.444444444444443</v>
      </c>
      <c r="C47" s="2">
        <f t="shared" si="11"/>
        <v>44.444444444444443</v>
      </c>
      <c r="D47" s="2">
        <f>D14/D13*100</f>
        <v>88.888888888888886</v>
      </c>
      <c r="E47" s="2">
        <f t="shared" si="11"/>
        <v>88.888888888888886</v>
      </c>
      <c r="F47" s="2">
        <f t="shared" si="11"/>
        <v>88.888888888888886</v>
      </c>
      <c r="G47" s="2">
        <f t="shared" si="11"/>
        <v>88.888888888888886</v>
      </c>
      <c r="H47" s="21">
        <f t="shared" si="11"/>
        <v>0</v>
      </c>
      <c r="I47" s="2" t="e">
        <f t="shared" si="11"/>
        <v>#DIV/0!</v>
      </c>
      <c r="J47" s="2" t="e">
        <f t="shared" si="11"/>
        <v>#DIV/0!</v>
      </c>
      <c r="K47" s="2" t="e">
        <f t="shared" si="11"/>
        <v>#DIV/0!</v>
      </c>
    </row>
    <row r="48" spans="1:11" x14ac:dyDescent="0.25">
      <c r="A48" s="2" t="s">
        <v>35</v>
      </c>
      <c r="B48" s="2">
        <f>B21/B20*100</f>
        <v>18.554690007421875</v>
      </c>
      <c r="C48" s="2">
        <f t="shared" ref="C48:I48" si="12">C21/C20*100</f>
        <v>18.554690007421875</v>
      </c>
      <c r="D48" s="2">
        <f>D21/D20*100</f>
        <v>22.907024691358025</v>
      </c>
      <c r="E48" s="2">
        <f t="shared" si="12"/>
        <v>24.255851318944842</v>
      </c>
      <c r="F48" s="2">
        <f t="shared" si="12"/>
        <v>0</v>
      </c>
      <c r="G48" s="2">
        <f t="shared" si="12"/>
        <v>28.133333333333333</v>
      </c>
      <c r="H48" s="21">
        <f t="shared" si="12"/>
        <v>0</v>
      </c>
      <c r="I48" s="2" t="e">
        <f t="shared" si="12"/>
        <v>#DIV/0!</v>
      </c>
      <c r="J48" s="2" t="e">
        <f>J21/J20*100</f>
        <v>#DIV/0!</v>
      </c>
      <c r="K48" s="2" t="e">
        <f>K21/K20*100</f>
        <v>#DIV/0!</v>
      </c>
    </row>
    <row r="49" spans="1:11" s="1" customFormat="1" x14ac:dyDescent="0.25">
      <c r="A49" s="1" t="s">
        <v>36</v>
      </c>
      <c r="B49" s="1">
        <f t="shared" ref="B49:K49" si="13">AVERAGE(B47:B48)</f>
        <v>31.499567225933159</v>
      </c>
      <c r="C49" s="1">
        <f t="shared" si="13"/>
        <v>31.499567225933159</v>
      </c>
      <c r="D49" s="1">
        <f>AVERAGE(D47:D48)</f>
        <v>55.897956790123459</v>
      </c>
      <c r="E49" s="1">
        <f t="shared" si="13"/>
        <v>56.572370103916867</v>
      </c>
      <c r="F49" s="1">
        <f t="shared" si="13"/>
        <v>44.444444444444443</v>
      </c>
      <c r="G49" s="1">
        <f t="shared" si="13"/>
        <v>58.511111111111106</v>
      </c>
      <c r="H49" s="22">
        <f t="shared" si="13"/>
        <v>0</v>
      </c>
      <c r="I49" s="1" t="e">
        <f t="shared" si="13"/>
        <v>#DIV/0!</v>
      </c>
      <c r="J49" s="1" t="e">
        <f t="shared" si="13"/>
        <v>#DIV/0!</v>
      </c>
      <c r="K49" s="1" t="e">
        <f t="shared" si="13"/>
        <v>#DIV/0!</v>
      </c>
    </row>
    <row r="51" spans="1:11" x14ac:dyDescent="0.25">
      <c r="A51" s="2" t="s">
        <v>37</v>
      </c>
    </row>
    <row r="52" spans="1:11" x14ac:dyDescent="0.25">
      <c r="A52" s="2" t="s">
        <v>38</v>
      </c>
      <c r="B52" s="2">
        <f>(B14/(B16)*100)</f>
        <v>3.1418753068237604</v>
      </c>
      <c r="C52" s="2">
        <f t="shared" ref="C52:K52" si="14">(C14/(C16)*100)</f>
        <v>11.111111111111111</v>
      </c>
      <c r="D52" s="2">
        <f t="shared" si="14"/>
        <v>22.222222222222221</v>
      </c>
      <c r="E52" s="2">
        <f t="shared" si="14"/>
        <v>22.222222222222221</v>
      </c>
      <c r="F52" s="2">
        <f t="shared" si="14"/>
        <v>22.222222222222221</v>
      </c>
      <c r="G52" s="2">
        <f t="shared" si="14"/>
        <v>22.222222222222221</v>
      </c>
      <c r="H52" s="21">
        <f t="shared" si="14"/>
        <v>0</v>
      </c>
      <c r="I52" s="2">
        <f t="shared" si="14"/>
        <v>0</v>
      </c>
      <c r="J52" s="2" t="e">
        <f t="shared" si="14"/>
        <v>#DIV/0!</v>
      </c>
      <c r="K52" s="2">
        <f t="shared" si="14"/>
        <v>0</v>
      </c>
    </row>
    <row r="53" spans="1:11" x14ac:dyDescent="0.25">
      <c r="A53" s="2" t="s">
        <v>39</v>
      </c>
      <c r="B53" s="2">
        <f>B21/B22*100</f>
        <v>4.1421295063438528</v>
      </c>
      <c r="C53" s="2">
        <f t="shared" ref="C53:I53" si="15">C21/C22*100</f>
        <v>4.6386724999999993</v>
      </c>
      <c r="D53" s="2">
        <f t="shared" si="15"/>
        <v>5.7267561728395062</v>
      </c>
      <c r="E53" s="2">
        <f t="shared" si="15"/>
        <v>6.0639628297362105</v>
      </c>
      <c r="F53" s="2">
        <f t="shared" si="15"/>
        <v>0</v>
      </c>
      <c r="G53" s="2">
        <f t="shared" si="15"/>
        <v>7.0333333333333332</v>
      </c>
      <c r="H53" s="21">
        <f t="shared" si="15"/>
        <v>0</v>
      </c>
      <c r="I53" s="2">
        <f t="shared" si="15"/>
        <v>0</v>
      </c>
      <c r="J53" s="2">
        <f>J21/J22*100</f>
        <v>0</v>
      </c>
      <c r="K53" s="2">
        <f>K21/K22*100</f>
        <v>0</v>
      </c>
    </row>
    <row r="54" spans="1:11" x14ac:dyDescent="0.25">
      <c r="A54" s="2" t="s">
        <v>40</v>
      </c>
      <c r="B54" s="2">
        <f t="shared" ref="B54:K54" si="16">(B52+B53)/2</f>
        <v>3.6420024065838064</v>
      </c>
      <c r="C54" s="2">
        <f t="shared" si="16"/>
        <v>7.8748918055555546</v>
      </c>
      <c r="D54" s="2">
        <f t="shared" si="16"/>
        <v>13.974489197530865</v>
      </c>
      <c r="E54" s="2">
        <f t="shared" si="16"/>
        <v>14.143092525979217</v>
      </c>
      <c r="F54" s="2">
        <f t="shared" si="16"/>
        <v>11.111111111111111</v>
      </c>
      <c r="G54" s="2">
        <f t="shared" si="16"/>
        <v>14.627777777777776</v>
      </c>
      <c r="H54" s="21">
        <f t="shared" si="16"/>
        <v>0</v>
      </c>
      <c r="I54" s="2">
        <f t="shared" si="16"/>
        <v>0</v>
      </c>
      <c r="J54" s="2" t="e">
        <f t="shared" si="16"/>
        <v>#DIV/0!</v>
      </c>
      <c r="K54" s="2">
        <f t="shared" si="16"/>
        <v>0</v>
      </c>
    </row>
    <row r="56" spans="1:11" s="1" customFormat="1" x14ac:dyDescent="0.25">
      <c r="A56" s="1" t="s">
        <v>118</v>
      </c>
      <c r="H56" s="22"/>
    </row>
    <row r="57" spans="1:11" x14ac:dyDescent="0.25">
      <c r="A57" s="2" t="s">
        <v>41</v>
      </c>
      <c r="B57" s="2">
        <f t="shared" ref="B57:I57" si="17">B23/B21*100</f>
        <v>0</v>
      </c>
      <c r="C57" s="2">
        <f t="shared" si="17"/>
        <v>0</v>
      </c>
      <c r="D57" s="2">
        <f t="shared" si="17"/>
        <v>0</v>
      </c>
      <c r="E57" s="2">
        <f>E23/E21*100</f>
        <v>0</v>
      </c>
      <c r="F57" s="2" t="e">
        <f>F23/F21*100</f>
        <v>#DIV/0!</v>
      </c>
      <c r="G57" s="2">
        <f t="shared" si="17"/>
        <v>0</v>
      </c>
      <c r="H57" s="21" t="e">
        <f>H23/H21*100</f>
        <v>#DIV/0!</v>
      </c>
      <c r="I57" s="2" t="e">
        <f t="shared" si="17"/>
        <v>#DIV/0!</v>
      </c>
      <c r="J57" s="2" t="e">
        <f>J23/J21*100</f>
        <v>#DIV/0!</v>
      </c>
      <c r="K57" s="2" t="e">
        <f>K23/K21*100</f>
        <v>#DIV/0!</v>
      </c>
    </row>
    <row r="59" spans="1:11" x14ac:dyDescent="0.25">
      <c r="A59" s="2" t="s">
        <v>42</v>
      </c>
    </row>
    <row r="60" spans="1:11" x14ac:dyDescent="0.25">
      <c r="A60" s="2" t="s">
        <v>43</v>
      </c>
      <c r="B60" s="2">
        <f t="shared" ref="B60:K60" si="18">((B14/B11)-1)*100</f>
        <v>59.999999999999986</v>
      </c>
      <c r="C60" s="2">
        <f t="shared" si="18"/>
        <v>59.999999999999986</v>
      </c>
      <c r="D60" s="2">
        <f>((D14/D11)-1)*100</f>
        <v>59.999999999999986</v>
      </c>
      <c r="E60" s="2">
        <f t="shared" si="18"/>
        <v>59.999999999999986</v>
      </c>
      <c r="F60" s="2">
        <f t="shared" si="18"/>
        <v>59.999999999999986</v>
      </c>
      <c r="G60" s="2">
        <f t="shared" si="18"/>
        <v>59.999999999999986</v>
      </c>
      <c r="H60" s="21" t="e">
        <f t="shared" si="18"/>
        <v>#DIV/0!</v>
      </c>
      <c r="I60" s="2" t="e">
        <f t="shared" si="18"/>
        <v>#DIV/0!</v>
      </c>
      <c r="J60" s="2" t="e">
        <f t="shared" si="18"/>
        <v>#DIV/0!</v>
      </c>
      <c r="K60" s="2" t="e">
        <f t="shared" si="18"/>
        <v>#DIV/0!</v>
      </c>
    </row>
    <row r="61" spans="1:11" x14ac:dyDescent="0.25">
      <c r="A61" s="2" t="s">
        <v>44</v>
      </c>
      <c r="B61" s="2">
        <f>((B36/B35)-1)*100</f>
        <v>187.69061305520319</v>
      </c>
      <c r="C61" s="2">
        <f>((C36/C35)-1)*100</f>
        <v>187.69061305520319</v>
      </c>
      <c r="D61" s="2">
        <f>((D36/D35)-1)*100</f>
        <v>187.69061305520319</v>
      </c>
      <c r="E61" s="2">
        <f t="shared" ref="E61:K61" si="19">((E36/E35)-1)*100</f>
        <v>124.04300793492537</v>
      </c>
      <c r="F61" s="2">
        <f t="shared" si="19"/>
        <v>-100</v>
      </c>
      <c r="G61" s="2" t="e">
        <f t="shared" si="19"/>
        <v>#DIV/0!</v>
      </c>
      <c r="H61" s="21" t="e">
        <f t="shared" si="19"/>
        <v>#DIV/0!</v>
      </c>
      <c r="I61" s="2" t="e">
        <f t="shared" si="19"/>
        <v>#DIV/0!</v>
      </c>
      <c r="J61" s="2" t="e">
        <f t="shared" si="19"/>
        <v>#DIV/0!</v>
      </c>
      <c r="K61" s="2" t="e">
        <f t="shared" si="19"/>
        <v>#DIV/0!</v>
      </c>
    </row>
    <row r="62" spans="1:11" s="1" customFormat="1" x14ac:dyDescent="0.25">
      <c r="A62" s="1" t="s">
        <v>45</v>
      </c>
      <c r="B62" s="1">
        <f t="shared" ref="B62:K62" si="20">((B38/B37)-1)*100</f>
        <v>79.806633159501999</v>
      </c>
      <c r="C62" s="1">
        <f t="shared" si="20"/>
        <v>79.806633159501999</v>
      </c>
      <c r="D62" s="1">
        <f t="shared" si="20"/>
        <v>79.806633159501999</v>
      </c>
      <c r="E62" s="1">
        <f t="shared" si="20"/>
        <v>40.026879959328369</v>
      </c>
      <c r="F62" s="1">
        <f t="shared" si="20"/>
        <v>-100</v>
      </c>
      <c r="G62" s="1" t="e">
        <f t="shared" si="20"/>
        <v>#DIV/0!</v>
      </c>
      <c r="H62" s="22" t="e">
        <f t="shared" si="20"/>
        <v>#DIV/0!</v>
      </c>
      <c r="I62" s="1" t="e">
        <f t="shared" si="20"/>
        <v>#DIV/0!</v>
      </c>
      <c r="J62" s="1" t="e">
        <f t="shared" si="20"/>
        <v>#DIV/0!</v>
      </c>
      <c r="K62" s="1" t="e">
        <f t="shared" si="20"/>
        <v>#DIV/0!</v>
      </c>
    </row>
    <row r="63" spans="1:11" x14ac:dyDescent="0.25">
      <c r="B63" s="1"/>
      <c r="C63" s="1"/>
      <c r="D63" s="1"/>
      <c r="E63" s="1"/>
      <c r="F63" s="1"/>
      <c r="G63" s="1"/>
      <c r="H63" s="22"/>
      <c r="I63" s="1"/>
      <c r="J63" s="1"/>
      <c r="K63" s="1"/>
    </row>
    <row r="64" spans="1:11" x14ac:dyDescent="0.25">
      <c r="A64" s="2" t="s">
        <v>46</v>
      </c>
    </row>
    <row r="65" spans="1:11" x14ac:dyDescent="0.25">
      <c r="A65" s="2" t="s">
        <v>128</v>
      </c>
      <c r="B65" s="2">
        <f t="shared" ref="B65:K65" si="21">B20/B13</f>
        <v>520833.33312500006</v>
      </c>
      <c r="C65" s="2">
        <f t="shared" si="21"/>
        <v>520833.33312500006</v>
      </c>
      <c r="D65" s="2">
        <f>D20/D13</f>
        <v>843750</v>
      </c>
      <c r="E65" s="2">
        <f t="shared" si="21"/>
        <v>434375</v>
      </c>
      <c r="F65" s="2">
        <f t="shared" si="21"/>
        <v>96875</v>
      </c>
      <c r="G65" s="2">
        <f t="shared" si="21"/>
        <v>312500</v>
      </c>
      <c r="H65" s="21">
        <f t="shared" si="21"/>
        <v>197916.66625000001</v>
      </c>
      <c r="I65" s="2" t="e">
        <f t="shared" si="21"/>
        <v>#DIV/0!</v>
      </c>
      <c r="J65" s="2" t="e">
        <f t="shared" si="21"/>
        <v>#DIV/0!</v>
      </c>
      <c r="K65" s="2" t="e">
        <f t="shared" si="21"/>
        <v>#DIV/0!</v>
      </c>
    </row>
    <row r="66" spans="1:11" x14ac:dyDescent="0.25">
      <c r="A66" s="2" t="s">
        <v>129</v>
      </c>
      <c r="B66" s="2">
        <f t="shared" ref="B66:K66" si="22">B21/B14</f>
        <v>217437.7734375</v>
      </c>
      <c r="C66" s="2">
        <f t="shared" si="22"/>
        <v>217437.7734375</v>
      </c>
      <c r="D66" s="2">
        <f>D21/D14</f>
        <v>217437.7734375</v>
      </c>
      <c r="E66" s="2">
        <f t="shared" si="22"/>
        <v>118531.5234375</v>
      </c>
      <c r="F66" s="2">
        <f t="shared" si="22"/>
        <v>0</v>
      </c>
      <c r="G66" s="2">
        <f t="shared" si="22"/>
        <v>98906.25</v>
      </c>
      <c r="H66" s="21" t="e">
        <f t="shared" si="22"/>
        <v>#DIV/0!</v>
      </c>
      <c r="I66" s="2" t="e">
        <f t="shared" si="22"/>
        <v>#DIV/0!</v>
      </c>
      <c r="J66" s="2" t="e">
        <f t="shared" si="22"/>
        <v>#DIV/0!</v>
      </c>
      <c r="K66" s="2" t="e">
        <f t="shared" si="22"/>
        <v>#DIV/0!</v>
      </c>
    </row>
    <row r="67" spans="1:11" s="1" customFormat="1" x14ac:dyDescent="0.25">
      <c r="A67" s="1" t="s">
        <v>47</v>
      </c>
      <c r="B67" s="1">
        <f>(B65/B66)*B49</f>
        <v>75.451584749572064</v>
      </c>
      <c r="C67" s="1">
        <f t="shared" ref="C67:K67" si="23">(C65/C66)*C49</f>
        <v>75.451584749572064</v>
      </c>
      <c r="D67" s="1">
        <f t="shared" si="23"/>
        <v>216.90757910204314</v>
      </c>
      <c r="E67" s="1">
        <f t="shared" si="23"/>
        <v>207.31719757947945</v>
      </c>
      <c r="F67" s="1" t="e">
        <f>(F65/F66)*F49</f>
        <v>#DIV/0!</v>
      </c>
      <c r="G67" s="1">
        <f t="shared" si="23"/>
        <v>184.86922941899243</v>
      </c>
      <c r="H67" s="22" t="e">
        <f t="shared" si="23"/>
        <v>#DIV/0!</v>
      </c>
      <c r="I67" s="1" t="e">
        <f t="shared" si="23"/>
        <v>#DIV/0!</v>
      </c>
      <c r="J67" s="1" t="e">
        <f t="shared" si="23"/>
        <v>#DIV/0!</v>
      </c>
      <c r="K67" s="1" t="e">
        <f t="shared" si="23"/>
        <v>#DIV/0!</v>
      </c>
    </row>
    <row r="68" spans="1:11" x14ac:dyDescent="0.25">
      <c r="A68" s="2" t="s">
        <v>130</v>
      </c>
      <c r="B68" s="2">
        <f t="shared" ref="B68:K68" si="24">B20/(B13*3)</f>
        <v>173611.11104166668</v>
      </c>
      <c r="C68" s="2">
        <f t="shared" si="24"/>
        <v>173611.11104166668</v>
      </c>
      <c r="D68" s="2">
        <f>D20/(D13*3)</f>
        <v>281250</v>
      </c>
      <c r="E68" s="2">
        <f t="shared" si="24"/>
        <v>144791.66666666666</v>
      </c>
      <c r="F68" s="2">
        <f t="shared" si="24"/>
        <v>32291.666666666668</v>
      </c>
      <c r="G68" s="2">
        <f t="shared" si="24"/>
        <v>104166.66666666667</v>
      </c>
      <c r="H68" s="21">
        <f t="shared" si="24"/>
        <v>65972.222083333341</v>
      </c>
      <c r="I68" s="2" t="e">
        <f t="shared" si="24"/>
        <v>#DIV/0!</v>
      </c>
      <c r="J68" s="2" t="e">
        <f t="shared" si="24"/>
        <v>#DIV/0!</v>
      </c>
      <c r="K68" s="2" t="e">
        <f t="shared" si="24"/>
        <v>#DIV/0!</v>
      </c>
    </row>
    <row r="69" spans="1:11" x14ac:dyDescent="0.25">
      <c r="A69" s="2" t="s">
        <v>131</v>
      </c>
      <c r="B69" s="2">
        <f>B21/(B14*3)</f>
        <v>72479.2578125</v>
      </c>
      <c r="C69" s="2">
        <f t="shared" ref="C69:K69" si="25">C21/(C14*3)</f>
        <v>72479.2578125</v>
      </c>
      <c r="D69" s="2">
        <f>D21/(D14*3)</f>
        <v>72479.2578125</v>
      </c>
      <c r="E69" s="2">
        <f t="shared" si="25"/>
        <v>39510.5078125</v>
      </c>
      <c r="F69" s="2">
        <f t="shared" si="25"/>
        <v>0</v>
      </c>
      <c r="G69" s="2">
        <f t="shared" si="25"/>
        <v>32968.75</v>
      </c>
      <c r="H69" s="21" t="e">
        <f t="shared" si="25"/>
        <v>#DIV/0!</v>
      </c>
      <c r="I69" s="2" t="e">
        <f t="shared" si="25"/>
        <v>#DIV/0!</v>
      </c>
      <c r="J69" s="2" t="e">
        <f t="shared" si="25"/>
        <v>#DIV/0!</v>
      </c>
      <c r="K69" s="2" t="e">
        <f t="shared" si="25"/>
        <v>#DIV/0!</v>
      </c>
    </row>
    <row r="71" spans="1:11" x14ac:dyDescent="0.25">
      <c r="A71" s="2" t="s">
        <v>48</v>
      </c>
    </row>
    <row r="72" spans="1:11" x14ac:dyDescent="0.25">
      <c r="A72" s="1" t="s">
        <v>49</v>
      </c>
      <c r="B72" s="1">
        <f>(B27/B26)*100</f>
        <v>0</v>
      </c>
      <c r="C72" s="1">
        <f>(C27/C26)*100</f>
        <v>0</v>
      </c>
      <c r="D72" s="1"/>
      <c r="E72" s="1"/>
      <c r="F72" s="1"/>
      <c r="G72" s="1"/>
      <c r="H72" s="22"/>
      <c r="I72" s="1" t="e">
        <f>(I27/I26)*100</f>
        <v>#DIV/0!</v>
      </c>
      <c r="J72" s="1"/>
      <c r="K72" s="1"/>
    </row>
    <row r="73" spans="1:11" x14ac:dyDescent="0.25">
      <c r="A73" s="1" t="s">
        <v>50</v>
      </c>
      <c r="B73" s="1" t="e">
        <f>(B21/B27)*100</f>
        <v>#DIV/0!</v>
      </c>
      <c r="C73" s="1" t="e">
        <f>(C21/C27)*100</f>
        <v>#DIV/0!</v>
      </c>
      <c r="D73" s="1"/>
      <c r="E73" s="1"/>
      <c r="F73" s="1"/>
      <c r="G73" s="1"/>
      <c r="H73" s="22"/>
      <c r="I73" s="1" t="e">
        <f>(I21/I27)*100</f>
        <v>#DIV/0!</v>
      </c>
      <c r="J73" s="1"/>
      <c r="K73" s="1"/>
    </row>
    <row r="74" spans="1:11" ht="15.75" thickBot="1" x14ac:dyDescent="0.3">
      <c r="A74" s="15"/>
      <c r="B74" s="15"/>
      <c r="C74" s="15"/>
      <c r="D74" s="15"/>
      <c r="E74" s="15"/>
      <c r="F74" s="15"/>
      <c r="G74" s="15"/>
      <c r="H74" s="23"/>
      <c r="I74" s="15"/>
      <c r="J74" s="15"/>
      <c r="K74" s="15"/>
    </row>
    <row r="75" spans="1:11" ht="15.75" thickTop="1" x14ac:dyDescent="0.25">
      <c r="A75" s="16" t="s">
        <v>119</v>
      </c>
    </row>
    <row r="76" spans="1:11" x14ac:dyDescent="0.25">
      <c r="A76" s="16" t="s">
        <v>120</v>
      </c>
    </row>
    <row r="77" spans="1:11" x14ac:dyDescent="0.25">
      <c r="A77" s="16" t="s">
        <v>121</v>
      </c>
    </row>
    <row r="78" spans="1:11" x14ac:dyDescent="0.25">
      <c r="A78" s="16" t="s">
        <v>122</v>
      </c>
    </row>
    <row r="79" spans="1:11" x14ac:dyDescent="0.25">
      <c r="A79" s="16" t="s">
        <v>123</v>
      </c>
    </row>
    <row r="80" spans="1:11" x14ac:dyDescent="0.25">
      <c r="A80" s="16" t="s">
        <v>126</v>
      </c>
    </row>
    <row r="82" spans="1:1" x14ac:dyDescent="0.25">
      <c r="A82" s="2" t="s">
        <v>124</v>
      </c>
    </row>
    <row r="83" spans="1:1" x14ac:dyDescent="0.25">
      <c r="A83" s="2" t="s">
        <v>125</v>
      </c>
    </row>
    <row r="84" spans="1:1" x14ac:dyDescent="0.25">
      <c r="A84" s="2" t="s">
        <v>127</v>
      </c>
    </row>
    <row r="85" spans="1:1" x14ac:dyDescent="0.25">
      <c r="A85" s="2" t="s">
        <v>141</v>
      </c>
    </row>
    <row r="86" spans="1:1" x14ac:dyDescent="0.25">
      <c r="A86" s="2" t="s">
        <v>142</v>
      </c>
    </row>
    <row r="87" spans="1:1" x14ac:dyDescent="0.25">
      <c r="A87" s="2" t="s">
        <v>143</v>
      </c>
    </row>
    <row r="88" spans="1:1" x14ac:dyDescent="0.25">
      <c r="A88" s="17" t="s">
        <v>144</v>
      </c>
    </row>
    <row r="228" spans="1:1" x14ac:dyDescent="0.25">
      <c r="A228" s="14"/>
    </row>
    <row r="229" spans="1:1" x14ac:dyDescent="0.25">
      <c r="A229" s="14"/>
    </row>
  </sheetData>
  <mergeCells count="8">
    <mergeCell ref="A2:K2"/>
    <mergeCell ref="A4:A6"/>
    <mergeCell ref="B4:B6"/>
    <mergeCell ref="I4:K4"/>
    <mergeCell ref="C5:C6"/>
    <mergeCell ref="I5:I6"/>
    <mergeCell ref="J5:J6"/>
    <mergeCell ref="K5:K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8"/>
  <sheetViews>
    <sheetView topLeftCell="A106" zoomScale="90" zoomScaleNormal="90" workbookViewId="0">
      <selection activeCell="G79" sqref="G79"/>
    </sheetView>
  </sheetViews>
  <sheetFormatPr baseColWidth="10" defaultColWidth="11.42578125" defaultRowHeight="15" x14ac:dyDescent="0.25"/>
  <cols>
    <col min="1" max="1" width="50.85546875" style="2" customWidth="1"/>
    <col min="2" max="2" width="15.28515625" style="2" customWidth="1"/>
    <col min="3" max="10" width="13.7109375" style="2" customWidth="1"/>
    <col min="11" max="11" width="14" style="2" customWidth="1"/>
    <col min="12" max="16384" width="11.42578125" style="2"/>
  </cols>
  <sheetData>
    <row r="2" spans="1:11" ht="15.75" x14ac:dyDescent="0.25">
      <c r="A2" s="24" t="s">
        <v>63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 ht="20.100000000000001" customHeight="1" x14ac:dyDescent="0.25">
      <c r="A4" s="25" t="s">
        <v>0</v>
      </c>
      <c r="B4" s="28" t="s">
        <v>1</v>
      </c>
      <c r="C4" s="31" t="s">
        <v>2</v>
      </c>
      <c r="D4" s="32"/>
      <c r="E4" s="32"/>
      <c r="F4" s="32"/>
      <c r="G4" s="32"/>
      <c r="H4" s="33"/>
      <c r="I4" s="31" t="s">
        <v>3</v>
      </c>
      <c r="J4" s="32"/>
      <c r="K4" s="33"/>
    </row>
    <row r="5" spans="1:11" ht="20.100000000000001" customHeight="1" x14ac:dyDescent="0.25">
      <c r="A5" s="26"/>
      <c r="B5" s="29"/>
      <c r="C5" s="34" t="s">
        <v>4</v>
      </c>
      <c r="D5" s="31" t="s">
        <v>5</v>
      </c>
      <c r="E5" s="32"/>
      <c r="F5" s="32"/>
      <c r="G5" s="33"/>
      <c r="H5" s="42" t="s">
        <v>6</v>
      </c>
      <c r="I5" s="36" t="s">
        <v>4</v>
      </c>
      <c r="J5" s="38" t="s">
        <v>7</v>
      </c>
      <c r="K5" s="40" t="s">
        <v>8</v>
      </c>
    </row>
    <row r="6" spans="1:11" ht="45.75" thickBot="1" x14ac:dyDescent="0.3">
      <c r="A6" s="27"/>
      <c r="B6" s="30"/>
      <c r="C6" s="35"/>
      <c r="D6" s="6" t="s">
        <v>4</v>
      </c>
      <c r="E6" s="7" t="s">
        <v>9</v>
      </c>
      <c r="F6" s="8" t="s">
        <v>10</v>
      </c>
      <c r="G6" s="9" t="s">
        <v>11</v>
      </c>
      <c r="H6" s="39"/>
      <c r="I6" s="37"/>
      <c r="J6" s="39"/>
      <c r="K6" s="41"/>
    </row>
    <row r="7" spans="1:11" ht="15.75" thickTop="1" x14ac:dyDescent="0.25"/>
    <row r="8" spans="1:11" x14ac:dyDescent="0.25">
      <c r="A8" s="10" t="s">
        <v>12</v>
      </c>
    </row>
    <row r="10" spans="1:11" x14ac:dyDescent="0.25">
      <c r="A10" s="2" t="s">
        <v>138</v>
      </c>
    </row>
    <row r="11" spans="1:11" x14ac:dyDescent="0.25">
      <c r="A11" s="11" t="s">
        <v>64</v>
      </c>
      <c r="B11" s="1">
        <f>C11+I11</f>
        <v>16.666666666666668</v>
      </c>
      <c r="C11" s="1">
        <f>D11+H11</f>
        <v>16.666666666666668</v>
      </c>
      <c r="D11" s="1">
        <f>E11</f>
        <v>16.666666666666668</v>
      </c>
      <c r="E11" s="1">
        <f>(17+18+15)/3</f>
        <v>16.666666666666668</v>
      </c>
      <c r="F11" s="1">
        <f>(17+18+15)/3</f>
        <v>16.666666666666668</v>
      </c>
      <c r="G11" s="1">
        <f>(17+18+15)/3</f>
        <v>16.666666666666668</v>
      </c>
      <c r="H11" s="1">
        <v>0</v>
      </c>
      <c r="I11" s="1">
        <f>SUM(J11:K11)</f>
        <v>0</v>
      </c>
      <c r="J11" s="1">
        <v>0</v>
      </c>
      <c r="K11" s="1">
        <v>0</v>
      </c>
    </row>
    <row r="12" spans="1:11" x14ac:dyDescent="0.25">
      <c r="A12" s="12" t="s">
        <v>139</v>
      </c>
      <c r="B12" s="1">
        <f t="shared" ref="B12:B15" si="0">C12+I12</f>
        <v>37</v>
      </c>
      <c r="C12" s="1">
        <f t="shared" ref="C12:C15" si="1">D12+H12</f>
        <v>37</v>
      </c>
      <c r="D12" s="1">
        <f t="shared" ref="D12:D15" si="2">E12</f>
        <v>37</v>
      </c>
      <c r="E12" s="1">
        <f>16+7+5+9</f>
        <v>37</v>
      </c>
      <c r="F12" s="1">
        <f>16+7+5+9</f>
        <v>37</v>
      </c>
      <c r="G12" s="1">
        <f>16+7+5+9</f>
        <v>37</v>
      </c>
      <c r="H12" s="1">
        <v>0</v>
      </c>
      <c r="I12" s="1">
        <f t="shared" ref="I12:I16" si="3">SUM(J12:K12)</f>
        <v>0</v>
      </c>
      <c r="J12" s="1">
        <v>0</v>
      </c>
      <c r="K12" s="1">
        <v>0</v>
      </c>
    </row>
    <row r="13" spans="1:11" x14ac:dyDescent="0.25">
      <c r="A13" s="11" t="s">
        <v>65</v>
      </c>
      <c r="B13" s="1">
        <f t="shared" si="0"/>
        <v>148</v>
      </c>
      <c r="C13" s="1">
        <f t="shared" si="1"/>
        <v>48</v>
      </c>
      <c r="D13" s="1">
        <f t="shared" si="2"/>
        <v>24</v>
      </c>
      <c r="E13" s="2">
        <f>24</f>
        <v>24</v>
      </c>
      <c r="F13" s="2">
        <f>24</f>
        <v>24</v>
      </c>
      <c r="G13" s="2">
        <f>24</f>
        <v>24</v>
      </c>
      <c r="H13" s="2">
        <v>24</v>
      </c>
      <c r="I13" s="1">
        <f t="shared" si="3"/>
        <v>100</v>
      </c>
      <c r="J13" s="2">
        <v>0</v>
      </c>
      <c r="K13" s="2">
        <v>100</v>
      </c>
    </row>
    <row r="14" spans="1:11" x14ac:dyDescent="0.25">
      <c r="A14" s="11" t="s">
        <v>66</v>
      </c>
      <c r="B14" s="1">
        <f t="shared" si="0"/>
        <v>44106.666666666664</v>
      </c>
      <c r="C14" s="1">
        <f t="shared" si="1"/>
        <v>18.666666666666668</v>
      </c>
      <c r="D14" s="1">
        <f t="shared" si="2"/>
        <v>18.666666666666668</v>
      </c>
      <c r="E14" s="2">
        <f>(18+17+21)/3</f>
        <v>18.666666666666668</v>
      </c>
      <c r="F14" s="2">
        <f>(18+17+21)/3</f>
        <v>18.666666666666668</v>
      </c>
      <c r="G14" s="2">
        <f>(18+17+21)/3</f>
        <v>18.666666666666668</v>
      </c>
      <c r="H14" s="2">
        <v>0</v>
      </c>
      <c r="I14" s="1">
        <f t="shared" si="3"/>
        <v>44088</v>
      </c>
      <c r="J14" s="1">
        <v>44088</v>
      </c>
      <c r="K14" s="1">
        <v>0</v>
      </c>
    </row>
    <row r="15" spans="1:11" x14ac:dyDescent="0.25">
      <c r="A15" s="12" t="s">
        <v>139</v>
      </c>
      <c r="B15" s="1">
        <f t="shared" si="0"/>
        <v>44158</v>
      </c>
      <c r="C15" s="1">
        <f t="shared" si="1"/>
        <v>70</v>
      </c>
      <c r="D15" s="1">
        <f t="shared" si="2"/>
        <v>70</v>
      </c>
      <c r="E15" s="2">
        <f>21+16+16+17</f>
        <v>70</v>
      </c>
      <c r="F15" s="2">
        <f>21+16+16+17</f>
        <v>70</v>
      </c>
      <c r="G15" s="2">
        <f>21+16+16+17</f>
        <v>70</v>
      </c>
      <c r="H15" s="2">
        <v>0</v>
      </c>
      <c r="I15" s="1">
        <f t="shared" si="3"/>
        <v>44088</v>
      </c>
      <c r="J15" s="1">
        <v>44088</v>
      </c>
      <c r="K15" s="1">
        <v>0</v>
      </c>
    </row>
    <row r="16" spans="1:11" x14ac:dyDescent="0.25">
      <c r="A16" s="11" t="s">
        <v>16</v>
      </c>
      <c r="B16" s="2">
        <f>C16+I16</f>
        <v>679</v>
      </c>
      <c r="C16" s="2">
        <f>D16+H16</f>
        <v>192</v>
      </c>
      <c r="D16" s="1">
        <f>E16</f>
        <v>96</v>
      </c>
      <c r="E16" s="2">
        <f>24*4</f>
        <v>96</v>
      </c>
      <c r="F16" s="2">
        <f>24*4</f>
        <v>96</v>
      </c>
      <c r="G16" s="2">
        <f>24*4</f>
        <v>96</v>
      </c>
      <c r="H16" s="2">
        <f>24*4</f>
        <v>96</v>
      </c>
      <c r="I16" s="1">
        <f t="shared" si="3"/>
        <v>487</v>
      </c>
      <c r="J16" s="2">
        <v>0</v>
      </c>
      <c r="K16" s="2">
        <v>487</v>
      </c>
    </row>
    <row r="17" spans="1:13" x14ac:dyDescent="0.25">
      <c r="I17" s="1"/>
    </row>
    <row r="18" spans="1:13" x14ac:dyDescent="0.25">
      <c r="A18" s="13" t="s">
        <v>17</v>
      </c>
      <c r="I18" s="1"/>
    </row>
    <row r="19" spans="1:13" x14ac:dyDescent="0.25">
      <c r="A19" s="11" t="s">
        <v>64</v>
      </c>
      <c r="B19" s="1">
        <f>C19+I19</f>
        <v>898643.4</v>
      </c>
      <c r="C19" s="1">
        <f>D19+H19</f>
        <v>898643.4</v>
      </c>
      <c r="D19" s="1">
        <f>SUM(E19:G19)</f>
        <v>898643.4</v>
      </c>
      <c r="E19" s="1">
        <f>209681.1+149772.2+269590</f>
        <v>629043.30000000005</v>
      </c>
      <c r="F19" s="1">
        <f>89866.7+64190.5+115542.9</f>
        <v>269600.09999999998</v>
      </c>
      <c r="G19" s="1">
        <v>0</v>
      </c>
      <c r="H19" s="1">
        <v>0</v>
      </c>
      <c r="I19" s="1">
        <f t="shared" ref="I19:I22" si="4">SUM(J19:K19)</f>
        <v>0</v>
      </c>
      <c r="J19" s="1">
        <v>0</v>
      </c>
      <c r="K19" s="1">
        <v>0</v>
      </c>
    </row>
    <row r="20" spans="1:13" x14ac:dyDescent="0.25">
      <c r="A20" s="11" t="s">
        <v>65</v>
      </c>
      <c r="B20" s="2">
        <f>C20+I20</f>
        <v>39173766</v>
      </c>
      <c r="C20" s="2">
        <f>D20+H20</f>
        <v>29586140</v>
      </c>
      <c r="D20" s="2">
        <f>SUM(E20:G20)</f>
        <v>24607140</v>
      </c>
      <c r="E20" s="2">
        <v>13059640</v>
      </c>
      <c r="F20" s="2">
        <v>9300000</v>
      </c>
      <c r="G20" s="2">
        <v>2247500</v>
      </c>
      <c r="H20" s="2">
        <v>4979000</v>
      </c>
      <c r="I20" s="1">
        <f t="shared" si="4"/>
        <v>9587626</v>
      </c>
      <c r="J20" s="2">
        <v>9017626</v>
      </c>
      <c r="K20" s="2">
        <v>570000</v>
      </c>
    </row>
    <row r="21" spans="1:13" x14ac:dyDescent="0.25">
      <c r="A21" s="11" t="s">
        <v>66</v>
      </c>
      <c r="B21" s="2">
        <f>C21+I21</f>
        <v>12095750.75</v>
      </c>
      <c r="C21" s="2">
        <f>D21+H21</f>
        <v>6443025</v>
      </c>
      <c r="D21" s="2">
        <f>SUM(E21:G21)</f>
        <v>6443025</v>
      </c>
      <c r="E21" s="1">
        <v>2678025</v>
      </c>
      <c r="F21" s="1">
        <v>0</v>
      </c>
      <c r="G21" s="1">
        <v>3765000</v>
      </c>
      <c r="H21" s="1">
        <v>0</v>
      </c>
      <c r="I21" s="1">
        <f>SUM(J21:K21)</f>
        <v>5652725.75</v>
      </c>
      <c r="J21" s="1">
        <v>5652725.75</v>
      </c>
      <c r="K21" s="1">
        <v>0</v>
      </c>
      <c r="M21" s="1"/>
    </row>
    <row r="22" spans="1:13" x14ac:dyDescent="0.25">
      <c r="A22" s="11" t="s">
        <v>16</v>
      </c>
      <c r="B22" s="2">
        <f>C22+I22</f>
        <v>91416286</v>
      </c>
      <c r="C22" s="2">
        <f>D22+H22</f>
        <v>79428660</v>
      </c>
      <c r="D22" s="2">
        <f>SUM(E22:G22)</f>
        <v>61428660</v>
      </c>
      <c r="E22" s="2">
        <v>27128660</v>
      </c>
      <c r="F22" s="2">
        <v>9300000</v>
      </c>
      <c r="G22" s="2">
        <v>25000000</v>
      </c>
      <c r="H22" s="2">
        <v>18000000</v>
      </c>
      <c r="I22" s="1">
        <f t="shared" si="4"/>
        <v>11987626</v>
      </c>
      <c r="J22" s="2">
        <v>9017626</v>
      </c>
      <c r="K22" s="2">
        <v>2970000</v>
      </c>
    </row>
    <row r="23" spans="1:13" x14ac:dyDescent="0.25">
      <c r="A23" s="11" t="s">
        <v>67</v>
      </c>
    </row>
    <row r="25" spans="1:13" s="1" customFormat="1" x14ac:dyDescent="0.25">
      <c r="A25" s="43" t="s">
        <v>19</v>
      </c>
    </row>
    <row r="26" spans="1:13" s="1" customFormat="1" x14ac:dyDescent="0.25">
      <c r="A26" s="44" t="s">
        <v>65</v>
      </c>
      <c r="B26" s="1">
        <f>B20</f>
        <v>39173766</v>
      </c>
      <c r="C26" s="1">
        <f>C20</f>
        <v>29586140</v>
      </c>
      <c r="I26" s="1">
        <f>I20</f>
        <v>9587626</v>
      </c>
    </row>
    <row r="27" spans="1:13" s="1" customFormat="1" x14ac:dyDescent="0.25">
      <c r="A27" s="44" t="s">
        <v>66</v>
      </c>
      <c r="B27" s="1">
        <f>+C27+I27</f>
        <v>11225713</v>
      </c>
      <c r="C27" s="1">
        <v>11225713</v>
      </c>
      <c r="I27" s="1">
        <v>0</v>
      </c>
    </row>
    <row r="29" spans="1:13" x14ac:dyDescent="0.25">
      <c r="A29" s="2" t="s">
        <v>20</v>
      </c>
    </row>
    <row r="30" spans="1:13" s="1" customFormat="1" x14ac:dyDescent="0.25">
      <c r="A30" s="44" t="s">
        <v>68</v>
      </c>
      <c r="B30" s="45">
        <v>1.3936333333333335</v>
      </c>
      <c r="C30" s="45">
        <v>1.3936333333333335</v>
      </c>
      <c r="D30" s="45">
        <v>1.3936333333333335</v>
      </c>
      <c r="E30" s="45">
        <v>1.3936333333333335</v>
      </c>
      <c r="F30" s="45">
        <v>1.3936333333333335</v>
      </c>
      <c r="G30" s="45">
        <v>1.3936333333333335</v>
      </c>
      <c r="H30" s="45">
        <v>1.3936333333333335</v>
      </c>
      <c r="I30" s="45">
        <v>1.3936333333333335</v>
      </c>
      <c r="J30" s="45">
        <v>1.3936333333333335</v>
      </c>
      <c r="K30" s="45">
        <v>1.3936333333333335</v>
      </c>
    </row>
    <row r="31" spans="1:13" s="1" customFormat="1" x14ac:dyDescent="0.25">
      <c r="A31" s="44" t="s">
        <v>69</v>
      </c>
      <c r="B31" s="45">
        <v>1.4619666666666666</v>
      </c>
      <c r="C31" s="45">
        <v>1.4619666666666666</v>
      </c>
      <c r="D31" s="45">
        <v>1.4619666666666666</v>
      </c>
      <c r="E31" s="45">
        <v>1.4619666666666666</v>
      </c>
      <c r="F31" s="45">
        <v>1.4619666666666666</v>
      </c>
      <c r="G31" s="45">
        <v>1.4619666666666666</v>
      </c>
      <c r="H31" s="45">
        <v>1.4619666666666666</v>
      </c>
      <c r="I31" s="45">
        <v>1.4619666666666666</v>
      </c>
      <c r="J31" s="45">
        <v>1.4619666666666666</v>
      </c>
      <c r="K31" s="45">
        <v>1.4619666666666666</v>
      </c>
    </row>
    <row r="32" spans="1:13" s="1" customFormat="1" x14ac:dyDescent="0.25">
      <c r="A32" s="44" t="s">
        <v>23</v>
      </c>
      <c r="C32" s="47"/>
      <c r="D32" s="47"/>
      <c r="E32" s="47"/>
      <c r="F32" s="47"/>
      <c r="G32" s="47"/>
      <c r="H32" s="47"/>
      <c r="I32" s="47"/>
      <c r="J32" s="47"/>
      <c r="K32" s="47"/>
    </row>
    <row r="34" spans="1:11" x14ac:dyDescent="0.25">
      <c r="A34" s="48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 t="s">
        <v>70</v>
      </c>
      <c r="B35" s="1">
        <f>B19/B30</f>
        <v>644820.54103183514</v>
      </c>
      <c r="C35" s="1">
        <f t="shared" ref="C35:K35" si="5">C19/C30</f>
        <v>644820.54103183514</v>
      </c>
      <c r="D35" s="1">
        <f>D19/D30</f>
        <v>644820.54103183514</v>
      </c>
      <c r="E35" s="1">
        <f t="shared" si="5"/>
        <v>451369.29847640457</v>
      </c>
      <c r="F35" s="1">
        <f t="shared" si="5"/>
        <v>193451.2425554306</v>
      </c>
      <c r="G35" s="1">
        <f t="shared" si="5"/>
        <v>0</v>
      </c>
      <c r="H35" s="1">
        <f t="shared" si="5"/>
        <v>0</v>
      </c>
      <c r="I35" s="1">
        <f t="shared" si="5"/>
        <v>0</v>
      </c>
      <c r="J35" s="1">
        <f t="shared" si="5"/>
        <v>0</v>
      </c>
      <c r="K35" s="1">
        <f t="shared" si="5"/>
        <v>0</v>
      </c>
    </row>
    <row r="36" spans="1:11" x14ac:dyDescent="0.25">
      <c r="A36" s="1" t="s">
        <v>71</v>
      </c>
      <c r="B36" s="1">
        <f t="shared" ref="B36:I36" si="6">B21/B31</f>
        <v>8273615.9625162454</v>
      </c>
      <c r="C36" s="1">
        <f t="shared" si="6"/>
        <v>4407094.3249960104</v>
      </c>
      <c r="D36" s="1">
        <f t="shared" si="6"/>
        <v>4407094.3249960104</v>
      </c>
      <c r="E36" s="1">
        <f t="shared" si="6"/>
        <v>1831796.2105839166</v>
      </c>
      <c r="F36" s="1">
        <f t="shared" si="6"/>
        <v>0</v>
      </c>
      <c r="G36" s="1">
        <f>G21/G31</f>
        <v>2575298.1144120935</v>
      </c>
      <c r="H36" s="1">
        <f t="shared" si="6"/>
        <v>0</v>
      </c>
      <c r="I36" s="1">
        <f t="shared" si="6"/>
        <v>3866521.6375202355</v>
      </c>
      <c r="J36" s="1">
        <f>J21/J31</f>
        <v>3866521.6375202355</v>
      </c>
      <c r="K36" s="1">
        <f>K21/K31</f>
        <v>0</v>
      </c>
    </row>
    <row r="37" spans="1:11" x14ac:dyDescent="0.25">
      <c r="A37" s="1" t="s">
        <v>72</v>
      </c>
      <c r="B37" s="1">
        <f t="shared" ref="B37:K37" si="7">B35/B11</f>
        <v>38689.232461910105</v>
      </c>
      <c r="C37" s="1">
        <f t="shared" si="7"/>
        <v>38689.232461910105</v>
      </c>
      <c r="D37" s="1">
        <f t="shared" si="7"/>
        <v>38689.232461910105</v>
      </c>
      <c r="E37" s="1">
        <f t="shared" si="7"/>
        <v>27082.157908584271</v>
      </c>
      <c r="F37" s="1">
        <f t="shared" si="7"/>
        <v>11607.074553325834</v>
      </c>
      <c r="G37" s="1">
        <f t="shared" si="7"/>
        <v>0</v>
      </c>
      <c r="H37" s="1" t="e">
        <f t="shared" si="7"/>
        <v>#DIV/0!</v>
      </c>
      <c r="I37" s="1" t="e">
        <f t="shared" si="7"/>
        <v>#DIV/0!</v>
      </c>
      <c r="J37" s="1" t="e">
        <f t="shared" si="7"/>
        <v>#DIV/0!</v>
      </c>
      <c r="K37" s="1" t="e">
        <f t="shared" si="7"/>
        <v>#DIV/0!</v>
      </c>
    </row>
    <row r="38" spans="1:11" x14ac:dyDescent="0.25">
      <c r="A38" s="1" t="s">
        <v>73</v>
      </c>
      <c r="B38" s="1">
        <f t="shared" ref="B38:K38" si="8">B36/B14</f>
        <v>187.58198222149892</v>
      </c>
      <c r="C38" s="1">
        <f t="shared" si="8"/>
        <v>236094.33883907198</v>
      </c>
      <c r="D38" s="1">
        <f t="shared" si="8"/>
        <v>236094.33883907198</v>
      </c>
      <c r="E38" s="1">
        <f t="shared" si="8"/>
        <v>98131.939852709809</v>
      </c>
      <c r="F38" s="1">
        <f t="shared" si="8"/>
        <v>0</v>
      </c>
      <c r="G38" s="1">
        <f t="shared" si="8"/>
        <v>137962.39898636215</v>
      </c>
      <c r="H38" s="1" t="e">
        <f t="shared" si="8"/>
        <v>#DIV/0!</v>
      </c>
      <c r="I38" s="1">
        <f t="shared" si="8"/>
        <v>87.700091578666203</v>
      </c>
      <c r="J38" s="1">
        <f t="shared" si="8"/>
        <v>87.700091578666203</v>
      </c>
      <c r="K38" s="1" t="e">
        <f t="shared" si="8"/>
        <v>#DIV/0!</v>
      </c>
    </row>
    <row r="40" spans="1:11" x14ac:dyDescent="0.25">
      <c r="A40" s="10" t="s">
        <v>29</v>
      </c>
    </row>
    <row r="42" spans="1:11" x14ac:dyDescent="0.25">
      <c r="A42" s="2" t="s">
        <v>30</v>
      </c>
    </row>
    <row r="43" spans="1:11" x14ac:dyDescent="0.25">
      <c r="A43" s="2" t="s">
        <v>31</v>
      </c>
      <c r="C43" s="2" t="e">
        <f t="shared" ref="C43:K43" si="9">(C13/C32)*100</f>
        <v>#DIV/0!</v>
      </c>
      <c r="D43" s="2" t="e">
        <f t="shared" si="9"/>
        <v>#DIV/0!</v>
      </c>
      <c r="E43" s="2" t="e">
        <f t="shared" si="9"/>
        <v>#DIV/0!</v>
      </c>
      <c r="F43" s="2" t="e">
        <f t="shared" si="9"/>
        <v>#DIV/0!</v>
      </c>
      <c r="G43" s="2" t="e">
        <f t="shared" si="9"/>
        <v>#DIV/0!</v>
      </c>
      <c r="H43" s="2" t="e">
        <f t="shared" si="9"/>
        <v>#DIV/0!</v>
      </c>
      <c r="I43" s="2" t="e">
        <f t="shared" si="9"/>
        <v>#DIV/0!</v>
      </c>
      <c r="J43" s="2" t="e">
        <f t="shared" si="9"/>
        <v>#DIV/0!</v>
      </c>
      <c r="K43" s="2" t="e">
        <f t="shared" si="9"/>
        <v>#DIV/0!</v>
      </c>
    </row>
    <row r="44" spans="1:11" x14ac:dyDescent="0.25">
      <c r="A44" s="2" t="s">
        <v>32</v>
      </c>
      <c r="C44" s="2" t="e">
        <f>(C15/C32)*100</f>
        <v>#DIV/0!</v>
      </c>
      <c r="D44" s="2" t="e">
        <f t="shared" ref="D44:K44" si="10">(D15/D32)*100</f>
        <v>#DIV/0!</v>
      </c>
      <c r="E44" s="2" t="e">
        <f t="shared" si="10"/>
        <v>#DIV/0!</v>
      </c>
      <c r="F44" s="2" t="e">
        <f t="shared" si="10"/>
        <v>#DIV/0!</v>
      </c>
      <c r="G44" s="2" t="e">
        <f t="shared" si="10"/>
        <v>#DIV/0!</v>
      </c>
      <c r="H44" s="2" t="e">
        <f t="shared" si="10"/>
        <v>#DIV/0!</v>
      </c>
      <c r="I44" s="2" t="e">
        <f t="shared" si="10"/>
        <v>#DIV/0!</v>
      </c>
      <c r="J44" s="2" t="e">
        <f t="shared" si="10"/>
        <v>#DIV/0!</v>
      </c>
      <c r="K44" s="2" t="e">
        <f t="shared" si="10"/>
        <v>#DIV/0!</v>
      </c>
    </row>
    <row r="46" spans="1:11" x14ac:dyDescent="0.25">
      <c r="A46" s="2" t="s">
        <v>33</v>
      </c>
    </row>
    <row r="47" spans="1:11" x14ac:dyDescent="0.25">
      <c r="A47" s="2" t="s">
        <v>34</v>
      </c>
      <c r="B47" s="2">
        <f>B14/B13*100</f>
        <v>29801.801801801797</v>
      </c>
      <c r="C47" s="2">
        <f t="shared" ref="C47:K47" si="11">C14/C13*100</f>
        <v>38.888888888888893</v>
      </c>
      <c r="D47" s="2">
        <f t="shared" si="11"/>
        <v>77.777777777777786</v>
      </c>
      <c r="E47" s="2">
        <f t="shared" si="11"/>
        <v>77.777777777777786</v>
      </c>
      <c r="F47" s="2">
        <f t="shared" si="11"/>
        <v>77.777777777777786</v>
      </c>
      <c r="G47" s="2">
        <f t="shared" si="11"/>
        <v>77.777777777777786</v>
      </c>
      <c r="H47" s="2">
        <f t="shared" si="11"/>
        <v>0</v>
      </c>
      <c r="I47" s="2">
        <f t="shared" si="11"/>
        <v>44088</v>
      </c>
      <c r="J47" s="2" t="e">
        <f t="shared" si="11"/>
        <v>#DIV/0!</v>
      </c>
      <c r="K47" s="2">
        <f t="shared" si="11"/>
        <v>0</v>
      </c>
    </row>
    <row r="48" spans="1:11" x14ac:dyDescent="0.25">
      <c r="A48" s="2" t="s">
        <v>35</v>
      </c>
      <c r="B48" s="2">
        <f>B21/B20*100</f>
        <v>30.877171089447973</v>
      </c>
      <c r="C48" s="2">
        <f t="shared" ref="C48:I48" si="12">C21/C20*100</f>
        <v>21.777173365636749</v>
      </c>
      <c r="D48" s="2">
        <f t="shared" si="12"/>
        <v>26.183558918265188</v>
      </c>
      <c r="E48" s="2">
        <f t="shared" si="12"/>
        <v>20.50611655451452</v>
      </c>
      <c r="F48" s="2">
        <f t="shared" si="12"/>
        <v>0</v>
      </c>
      <c r="G48" s="2">
        <f t="shared" si="12"/>
        <v>167.51946607341489</v>
      </c>
      <c r="H48" s="2">
        <f t="shared" si="12"/>
        <v>0</v>
      </c>
      <c r="I48" s="2">
        <f t="shared" si="12"/>
        <v>58.958555016643331</v>
      </c>
      <c r="J48" s="2">
        <f>J21/J20*100</f>
        <v>62.68529821485167</v>
      </c>
      <c r="K48" s="2">
        <f>K21/K20*100</f>
        <v>0</v>
      </c>
    </row>
    <row r="49" spans="1:11" s="1" customFormat="1" x14ac:dyDescent="0.25">
      <c r="A49" s="1" t="s">
        <v>36</v>
      </c>
      <c r="B49" s="1">
        <f t="shared" ref="B49:K49" si="13">AVERAGE(B47:B48)</f>
        <v>14916.339486445622</v>
      </c>
      <c r="C49" s="1">
        <f t="shared" si="13"/>
        <v>30.333031127262821</v>
      </c>
      <c r="D49" s="1">
        <f t="shared" si="13"/>
        <v>51.980668348021489</v>
      </c>
      <c r="E49" s="1">
        <f t="shared" si="13"/>
        <v>49.141947166146153</v>
      </c>
      <c r="F49" s="1">
        <f t="shared" si="13"/>
        <v>38.888888888888893</v>
      </c>
      <c r="G49" s="1">
        <f t="shared" si="13"/>
        <v>122.64862192559633</v>
      </c>
      <c r="H49" s="1">
        <f t="shared" si="13"/>
        <v>0</v>
      </c>
      <c r="I49" s="1">
        <f t="shared" si="13"/>
        <v>22073.479277508322</v>
      </c>
      <c r="J49" s="1" t="e">
        <f t="shared" si="13"/>
        <v>#DIV/0!</v>
      </c>
      <c r="K49" s="1">
        <f t="shared" si="13"/>
        <v>0</v>
      </c>
    </row>
    <row r="51" spans="1:11" x14ac:dyDescent="0.25">
      <c r="A51" s="2" t="s">
        <v>37</v>
      </c>
    </row>
    <row r="52" spans="1:11" x14ac:dyDescent="0.25">
      <c r="A52" s="2" t="s">
        <v>38</v>
      </c>
      <c r="B52" s="2">
        <f>(B14/(B16))*100</f>
        <v>6495.8271968581248</v>
      </c>
      <c r="C52" s="2">
        <f t="shared" ref="C52:K52" si="14">(C14/(C16))*100</f>
        <v>9.7222222222222232</v>
      </c>
      <c r="D52" s="2">
        <f t="shared" si="14"/>
        <v>19.444444444444446</v>
      </c>
      <c r="E52" s="2">
        <f t="shared" si="14"/>
        <v>19.444444444444446</v>
      </c>
      <c r="F52" s="2">
        <f t="shared" si="14"/>
        <v>19.444444444444446</v>
      </c>
      <c r="G52" s="2">
        <f t="shared" si="14"/>
        <v>19.444444444444446</v>
      </c>
      <c r="H52" s="2">
        <f t="shared" si="14"/>
        <v>0</v>
      </c>
      <c r="I52" s="2">
        <f t="shared" si="14"/>
        <v>9052.9774127310066</v>
      </c>
      <c r="J52" s="2" t="e">
        <f t="shared" si="14"/>
        <v>#DIV/0!</v>
      </c>
      <c r="K52" s="2">
        <f t="shared" si="14"/>
        <v>0</v>
      </c>
    </row>
    <row r="53" spans="1:11" x14ac:dyDescent="0.25">
      <c r="A53" s="2" t="s">
        <v>39</v>
      </c>
      <c r="B53" s="2">
        <f>B21/B22*100</f>
        <v>13.23150532499209</v>
      </c>
      <c r="C53" s="2">
        <f t="shared" ref="C53:I53" si="15">C21/C22*100</f>
        <v>8.1117130768667121</v>
      </c>
      <c r="D53" s="2">
        <f t="shared" si="15"/>
        <v>10.488630225695953</v>
      </c>
      <c r="E53" s="2">
        <f t="shared" si="15"/>
        <v>9.8715712460549092</v>
      </c>
      <c r="F53" s="2">
        <f t="shared" si="15"/>
        <v>0</v>
      </c>
      <c r="G53" s="2">
        <f t="shared" si="15"/>
        <v>15.06</v>
      </c>
      <c r="H53" s="2">
        <f t="shared" si="15"/>
        <v>0</v>
      </c>
      <c r="I53" s="2">
        <f t="shared" si="15"/>
        <v>47.154672242861096</v>
      </c>
      <c r="J53" s="2">
        <f>J21/J22*100</f>
        <v>62.68529821485167</v>
      </c>
      <c r="K53" s="2">
        <f>K21/K22*100</f>
        <v>0</v>
      </c>
    </row>
    <row r="54" spans="1:11" x14ac:dyDescent="0.25">
      <c r="A54" s="2" t="s">
        <v>40</v>
      </c>
      <c r="B54" s="2">
        <f t="shared" ref="B54:K54" si="16">(B52+B53)/2</f>
        <v>3254.5293510915585</v>
      </c>
      <c r="C54" s="2">
        <f t="shared" si="16"/>
        <v>8.9169676495444676</v>
      </c>
      <c r="D54" s="2">
        <f t="shared" si="16"/>
        <v>14.9665373350702</v>
      </c>
      <c r="E54" s="2">
        <f t="shared" si="16"/>
        <v>14.658007845249678</v>
      </c>
      <c r="F54" s="2">
        <f t="shared" si="16"/>
        <v>9.7222222222222232</v>
      </c>
      <c r="G54" s="2">
        <f t="shared" si="16"/>
        <v>17.252222222222223</v>
      </c>
      <c r="H54" s="2">
        <f t="shared" si="16"/>
        <v>0</v>
      </c>
      <c r="I54" s="2">
        <f t="shared" si="16"/>
        <v>4550.0660424869338</v>
      </c>
      <c r="J54" s="2" t="e">
        <f t="shared" si="16"/>
        <v>#DIV/0!</v>
      </c>
      <c r="K54" s="2">
        <f t="shared" si="16"/>
        <v>0</v>
      </c>
    </row>
    <row r="56" spans="1:11" s="1" customFormat="1" x14ac:dyDescent="0.25">
      <c r="A56" s="1" t="s">
        <v>118</v>
      </c>
    </row>
    <row r="57" spans="1:11" x14ac:dyDescent="0.25">
      <c r="A57" s="2" t="s">
        <v>41</v>
      </c>
      <c r="B57" s="2">
        <f t="shared" ref="B57:I57" si="17">B23/B21*100</f>
        <v>0</v>
      </c>
      <c r="C57" s="2">
        <f t="shared" si="17"/>
        <v>0</v>
      </c>
      <c r="D57" s="2">
        <f t="shared" si="17"/>
        <v>0</v>
      </c>
      <c r="E57" s="2">
        <f>E23/E21*100</f>
        <v>0</v>
      </c>
      <c r="F57" s="2" t="e">
        <f>F23/F21*100</f>
        <v>#DIV/0!</v>
      </c>
      <c r="G57" s="2">
        <f t="shared" si="17"/>
        <v>0</v>
      </c>
      <c r="H57" s="2" t="e">
        <f>H23/H21*100</f>
        <v>#DIV/0!</v>
      </c>
      <c r="I57" s="2">
        <f t="shared" si="17"/>
        <v>0</v>
      </c>
      <c r="J57" s="2">
        <f>J23/J21*100</f>
        <v>0</v>
      </c>
      <c r="K57" s="2" t="e">
        <f>K23/K21*100</f>
        <v>#DIV/0!</v>
      </c>
    </row>
    <row r="59" spans="1:11" x14ac:dyDescent="0.25">
      <c r="A59" s="2" t="s">
        <v>42</v>
      </c>
    </row>
    <row r="60" spans="1:11" x14ac:dyDescent="0.25">
      <c r="A60" s="2" t="s">
        <v>43</v>
      </c>
      <c r="B60" s="2">
        <f>((B14/B11)-1)*100</f>
        <v>264539.99999999994</v>
      </c>
      <c r="C60" s="2">
        <f t="shared" ref="C60:K60" si="18">((C14/C11)-1)*100</f>
        <v>11.999999999999989</v>
      </c>
      <c r="D60" s="2">
        <f t="shared" si="18"/>
        <v>11.999999999999989</v>
      </c>
      <c r="E60" s="2">
        <f t="shared" si="18"/>
        <v>11.999999999999989</v>
      </c>
      <c r="F60" s="2">
        <f t="shared" si="18"/>
        <v>11.999999999999989</v>
      </c>
      <c r="G60" s="2">
        <f>((G14/G11)-1)*100</f>
        <v>11.999999999999989</v>
      </c>
      <c r="H60" s="2" t="e">
        <f t="shared" si="18"/>
        <v>#DIV/0!</v>
      </c>
      <c r="I60" s="2" t="e">
        <f t="shared" si="18"/>
        <v>#DIV/0!</v>
      </c>
      <c r="J60" s="2" t="e">
        <f t="shared" si="18"/>
        <v>#DIV/0!</v>
      </c>
      <c r="K60" s="2" t="e">
        <f t="shared" si="18"/>
        <v>#DIV/0!</v>
      </c>
    </row>
    <row r="61" spans="1:11" x14ac:dyDescent="0.25">
      <c r="A61" s="2" t="s">
        <v>44</v>
      </c>
      <c r="B61" s="2">
        <f>((B36/B35)-1)*100</f>
        <v>1183.0881518254507</v>
      </c>
      <c r="C61" s="2">
        <f>((C36/C35)-1)*100</f>
        <v>583.46059788105129</v>
      </c>
      <c r="D61" s="2">
        <f t="shared" ref="D61:K61" si="19">((D36/D35)-1)*100</f>
        <v>583.46059788105129</v>
      </c>
      <c r="E61" s="2">
        <f t="shared" si="19"/>
        <v>305.83092752811012</v>
      </c>
      <c r="F61" s="2">
        <f t="shared" si="19"/>
        <v>-100</v>
      </c>
      <c r="G61" s="2" t="e">
        <f t="shared" si="19"/>
        <v>#DIV/0!</v>
      </c>
      <c r="H61" s="2" t="e">
        <f t="shared" si="19"/>
        <v>#DIV/0!</v>
      </c>
      <c r="I61" s="2" t="e">
        <f t="shared" si="19"/>
        <v>#DIV/0!</v>
      </c>
      <c r="J61" s="2" t="e">
        <f t="shared" si="19"/>
        <v>#DIV/0!</v>
      </c>
      <c r="K61" s="2" t="e">
        <f t="shared" si="19"/>
        <v>#DIV/0!</v>
      </c>
    </row>
    <row r="62" spans="1:11" s="1" customFormat="1" x14ac:dyDescent="0.25">
      <c r="A62" s="1" t="s">
        <v>45</v>
      </c>
      <c r="B62" s="1">
        <f t="shared" ref="B62:K62" si="20">((B38/B37)-1)*100</f>
        <v>-99.515157137309004</v>
      </c>
      <c r="C62" s="1">
        <f t="shared" si="20"/>
        <v>510.23267667951018</v>
      </c>
      <c r="D62" s="1">
        <f t="shared" si="20"/>
        <v>510.23267667951018</v>
      </c>
      <c r="E62" s="1">
        <f t="shared" si="20"/>
        <v>262.34904243581263</v>
      </c>
      <c r="F62" s="1">
        <f t="shared" si="20"/>
        <v>-100</v>
      </c>
      <c r="G62" s="1" t="e">
        <f t="shared" si="20"/>
        <v>#DIV/0!</v>
      </c>
      <c r="H62" s="1" t="e">
        <f t="shared" si="20"/>
        <v>#DIV/0!</v>
      </c>
      <c r="I62" s="1" t="e">
        <f t="shared" si="20"/>
        <v>#DIV/0!</v>
      </c>
      <c r="J62" s="1" t="e">
        <f t="shared" si="20"/>
        <v>#DIV/0!</v>
      </c>
      <c r="K62" s="1" t="e">
        <f t="shared" si="20"/>
        <v>#DIV/0!</v>
      </c>
    </row>
    <row r="63" spans="1:1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2" t="s">
        <v>46</v>
      </c>
    </row>
    <row r="65" spans="1:11" x14ac:dyDescent="0.25">
      <c r="A65" s="2" t="s">
        <v>128</v>
      </c>
      <c r="B65" s="2">
        <f>B20/B13</f>
        <v>264687.60810810811</v>
      </c>
      <c r="C65" s="2">
        <f t="shared" ref="C65:K65" si="21">C20/C13</f>
        <v>616377.91666666663</v>
      </c>
      <c r="D65" s="2">
        <f t="shared" si="21"/>
        <v>1025297.5</v>
      </c>
      <c r="E65" s="2">
        <f t="shared" si="21"/>
        <v>544151.66666666663</v>
      </c>
      <c r="F65" s="2">
        <f t="shared" si="21"/>
        <v>387500</v>
      </c>
      <c r="G65" s="2">
        <f t="shared" si="21"/>
        <v>93645.833333333328</v>
      </c>
      <c r="H65" s="2">
        <f t="shared" si="21"/>
        <v>207458.33333333334</v>
      </c>
      <c r="I65" s="2">
        <f t="shared" si="21"/>
        <v>95876.26</v>
      </c>
      <c r="J65" s="2" t="e">
        <f t="shared" si="21"/>
        <v>#DIV/0!</v>
      </c>
      <c r="K65" s="2">
        <f t="shared" si="21"/>
        <v>5700</v>
      </c>
    </row>
    <row r="66" spans="1:11" x14ac:dyDescent="0.25">
      <c r="A66" s="2" t="s">
        <v>129</v>
      </c>
      <c r="B66" s="2">
        <f>B21/B14</f>
        <v>274.23860527509072</v>
      </c>
      <c r="C66" s="2">
        <f t="shared" ref="C66:K66" si="22">C21/C14</f>
        <v>345162.05357142852</v>
      </c>
      <c r="D66" s="2">
        <f t="shared" si="22"/>
        <v>345162.05357142852</v>
      </c>
      <c r="E66" s="2">
        <f t="shared" si="22"/>
        <v>143465.625</v>
      </c>
      <c r="F66" s="2">
        <f t="shared" si="22"/>
        <v>0</v>
      </c>
      <c r="G66" s="2">
        <f t="shared" si="22"/>
        <v>201696.42857142855</v>
      </c>
      <c r="H66" s="2" t="e">
        <f t="shared" si="22"/>
        <v>#DIV/0!</v>
      </c>
      <c r="I66" s="2">
        <f t="shared" si="22"/>
        <v>128.21461055162402</v>
      </c>
      <c r="J66" s="2">
        <f t="shared" si="22"/>
        <v>128.21461055162402</v>
      </c>
      <c r="K66" s="2" t="e">
        <f t="shared" si="22"/>
        <v>#DIV/0!</v>
      </c>
    </row>
    <row r="67" spans="1:11" s="1" customFormat="1" x14ac:dyDescent="0.25">
      <c r="A67" s="1" t="s">
        <v>47</v>
      </c>
      <c r="B67" s="1">
        <f>(B65/B66)*B49</f>
        <v>14396843.276078433</v>
      </c>
      <c r="C67" s="1">
        <f t="shared" ref="C67:K67" si="23">(C65/C66)*C49</f>
        <v>54.167630360729369</v>
      </c>
      <c r="D67" s="1">
        <f t="shared" si="23"/>
        <v>154.40761449324978</v>
      </c>
      <c r="E67" s="1">
        <f t="shared" si="23"/>
        <v>186.39079886700179</v>
      </c>
      <c r="F67" s="1" t="e">
        <f>(F65/F66)*F49</f>
        <v>#DIV/0!</v>
      </c>
      <c r="G67" s="1">
        <f t="shared" si="23"/>
        <v>56.944649385995106</v>
      </c>
      <c r="H67" s="1" t="e">
        <f t="shared" si="23"/>
        <v>#DIV/0!</v>
      </c>
      <c r="I67" s="1">
        <f t="shared" si="23"/>
        <v>16506095.750007283</v>
      </c>
      <c r="J67" s="1" t="e">
        <f t="shared" si="23"/>
        <v>#DIV/0!</v>
      </c>
      <c r="K67" s="1" t="e">
        <f t="shared" si="23"/>
        <v>#DIV/0!</v>
      </c>
    </row>
    <row r="68" spans="1:11" x14ac:dyDescent="0.25">
      <c r="A68" s="2" t="s">
        <v>130</v>
      </c>
      <c r="B68" s="2">
        <f>B20/(B13*3)</f>
        <v>88229.202702702707</v>
      </c>
      <c r="C68" s="2">
        <f t="shared" ref="C68:K68" si="24">C20/(C13*3)</f>
        <v>205459.30555555556</v>
      </c>
      <c r="D68" s="2">
        <f t="shared" si="24"/>
        <v>341765.83333333331</v>
      </c>
      <c r="E68" s="2">
        <f t="shared" si="24"/>
        <v>181383.88888888888</v>
      </c>
      <c r="F68" s="2">
        <f t="shared" si="24"/>
        <v>129166.66666666667</v>
      </c>
      <c r="G68" s="2">
        <f t="shared" si="24"/>
        <v>31215.277777777777</v>
      </c>
      <c r="H68" s="2">
        <f t="shared" si="24"/>
        <v>69152.777777777781</v>
      </c>
      <c r="I68" s="2">
        <f t="shared" si="24"/>
        <v>31958.753333333334</v>
      </c>
      <c r="J68" s="2" t="e">
        <f t="shared" si="24"/>
        <v>#DIV/0!</v>
      </c>
      <c r="K68" s="2">
        <f t="shared" si="24"/>
        <v>1900</v>
      </c>
    </row>
    <row r="69" spans="1:11" x14ac:dyDescent="0.25">
      <c r="A69" s="2" t="s">
        <v>131</v>
      </c>
      <c r="B69" s="2">
        <f>B21/(B14*3)</f>
        <v>91.412868425030226</v>
      </c>
      <c r="C69" s="2">
        <f t="shared" ref="C69:K69" si="25">C21/(C14*3)</f>
        <v>115054.01785714286</v>
      </c>
      <c r="D69" s="2">
        <f t="shared" si="25"/>
        <v>115054.01785714286</v>
      </c>
      <c r="E69" s="2">
        <f t="shared" si="25"/>
        <v>47821.875</v>
      </c>
      <c r="F69" s="2">
        <f t="shared" si="25"/>
        <v>0</v>
      </c>
      <c r="G69" s="2">
        <f t="shared" si="25"/>
        <v>67232.142857142855</v>
      </c>
      <c r="H69" s="2" t="e">
        <f t="shared" si="25"/>
        <v>#DIV/0!</v>
      </c>
      <c r="I69" s="2">
        <f t="shared" si="25"/>
        <v>42.738203517208007</v>
      </c>
      <c r="J69" s="2">
        <f t="shared" si="25"/>
        <v>42.738203517208007</v>
      </c>
      <c r="K69" s="2" t="e">
        <f t="shared" si="25"/>
        <v>#DIV/0!</v>
      </c>
    </row>
    <row r="71" spans="1:11" x14ac:dyDescent="0.25">
      <c r="A71" s="2" t="s">
        <v>48</v>
      </c>
    </row>
    <row r="72" spans="1:11" s="1" customFormat="1" x14ac:dyDescent="0.25">
      <c r="A72" s="1" t="s">
        <v>49</v>
      </c>
      <c r="B72" s="1">
        <f>(B27/B26)*100</f>
        <v>28.656200682875372</v>
      </c>
      <c r="C72" s="1">
        <f>(C27/C26)*100</f>
        <v>37.942472387408429</v>
      </c>
      <c r="I72" s="1">
        <f>(I27/I26)*100</f>
        <v>0</v>
      </c>
    </row>
    <row r="73" spans="1:11" s="1" customFormat="1" x14ac:dyDescent="0.25">
      <c r="A73" s="1" t="s">
        <v>50</v>
      </c>
      <c r="B73" s="1">
        <f>(B21/B27)*100</f>
        <v>107.75040079859515</v>
      </c>
      <c r="C73" s="1">
        <f>(C21/C27)*100</f>
        <v>57.395240729920673</v>
      </c>
      <c r="I73" s="1" t="e">
        <f>(I21/I27)*100</f>
        <v>#DIV/0!</v>
      </c>
    </row>
    <row r="74" spans="1:11" ht="15.75" thickBot="1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15.75" thickTop="1" x14ac:dyDescent="0.25">
      <c r="A75" s="16" t="s">
        <v>119</v>
      </c>
    </row>
    <row r="76" spans="1:11" x14ac:dyDescent="0.25">
      <c r="A76" s="16" t="s">
        <v>120</v>
      </c>
    </row>
    <row r="77" spans="1:11" x14ac:dyDescent="0.25">
      <c r="A77" s="16" t="s">
        <v>121</v>
      </c>
    </row>
    <row r="78" spans="1:11" x14ac:dyDescent="0.25">
      <c r="A78" s="16" t="s">
        <v>122</v>
      </c>
    </row>
    <row r="79" spans="1:11" x14ac:dyDescent="0.25">
      <c r="A79" s="16" t="s">
        <v>123</v>
      </c>
    </row>
    <row r="80" spans="1:11" x14ac:dyDescent="0.25">
      <c r="A80" s="16" t="s">
        <v>126</v>
      </c>
    </row>
    <row r="82" spans="1:1" x14ac:dyDescent="0.25">
      <c r="A82" s="2" t="s">
        <v>124</v>
      </c>
    </row>
    <row r="83" spans="1:1" x14ac:dyDescent="0.25">
      <c r="A83" s="2" t="s">
        <v>125</v>
      </c>
    </row>
    <row r="84" spans="1:1" x14ac:dyDescent="0.25">
      <c r="A84" s="2" t="s">
        <v>127</v>
      </c>
    </row>
    <row r="85" spans="1:1" x14ac:dyDescent="0.25">
      <c r="A85" s="2" t="s">
        <v>141</v>
      </c>
    </row>
    <row r="86" spans="1:1" x14ac:dyDescent="0.25">
      <c r="A86" s="2" t="s">
        <v>142</v>
      </c>
    </row>
    <row r="87" spans="1:1" x14ac:dyDescent="0.25">
      <c r="A87" s="2" t="s">
        <v>143</v>
      </c>
    </row>
    <row r="88" spans="1:1" x14ac:dyDescent="0.25">
      <c r="A88" s="17" t="s">
        <v>144</v>
      </c>
    </row>
  </sheetData>
  <mergeCells count="11">
    <mergeCell ref="A2:K2"/>
    <mergeCell ref="A4:A6"/>
    <mergeCell ref="B4:B6"/>
    <mergeCell ref="C4:H4"/>
    <mergeCell ref="I4:K4"/>
    <mergeCell ref="C5:C6"/>
    <mergeCell ref="D5:G5"/>
    <mergeCell ref="H5:H6"/>
    <mergeCell ref="I5:I6"/>
    <mergeCell ref="J5:J6"/>
    <mergeCell ref="K5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8"/>
  <sheetViews>
    <sheetView topLeftCell="B7" zoomScale="90" zoomScaleNormal="90" workbookViewId="0">
      <selection activeCell="K82" sqref="K82"/>
    </sheetView>
  </sheetViews>
  <sheetFormatPr baseColWidth="10" defaultColWidth="11.42578125" defaultRowHeight="15" x14ac:dyDescent="0.25"/>
  <cols>
    <col min="1" max="1" width="50.85546875" style="2" customWidth="1"/>
    <col min="2" max="10" width="13.7109375" style="2" customWidth="1"/>
    <col min="11" max="11" width="14" style="2" customWidth="1"/>
    <col min="12" max="16384" width="11.42578125" style="2"/>
  </cols>
  <sheetData>
    <row r="2" spans="1:11" ht="15.75" x14ac:dyDescent="0.25">
      <c r="A2" s="24" t="s">
        <v>62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 ht="20.100000000000001" customHeight="1" x14ac:dyDescent="0.25">
      <c r="A4" s="25" t="s">
        <v>0</v>
      </c>
      <c r="B4" s="28" t="s">
        <v>1</v>
      </c>
      <c r="C4" s="31" t="s">
        <v>2</v>
      </c>
      <c r="D4" s="32"/>
      <c r="E4" s="32"/>
      <c r="F4" s="32"/>
      <c r="G4" s="32"/>
      <c r="H4" s="33"/>
      <c r="I4" s="31" t="s">
        <v>3</v>
      </c>
      <c r="J4" s="32"/>
      <c r="K4" s="33"/>
    </row>
    <row r="5" spans="1:11" ht="20.100000000000001" customHeight="1" x14ac:dyDescent="0.25">
      <c r="A5" s="26"/>
      <c r="B5" s="29"/>
      <c r="C5" s="34" t="s">
        <v>4</v>
      </c>
      <c r="D5" s="31" t="s">
        <v>5</v>
      </c>
      <c r="E5" s="32"/>
      <c r="F5" s="32"/>
      <c r="G5" s="33"/>
      <c r="H5" s="42" t="s">
        <v>6</v>
      </c>
      <c r="I5" s="36" t="s">
        <v>4</v>
      </c>
      <c r="J5" s="38" t="s">
        <v>7</v>
      </c>
      <c r="K5" s="40" t="s">
        <v>8</v>
      </c>
    </row>
    <row r="6" spans="1:11" ht="45.75" thickBot="1" x14ac:dyDescent="0.3">
      <c r="A6" s="27"/>
      <c r="B6" s="30"/>
      <c r="C6" s="35"/>
      <c r="D6" s="6" t="s">
        <v>4</v>
      </c>
      <c r="E6" s="7" t="s">
        <v>9</v>
      </c>
      <c r="F6" s="8" t="s">
        <v>10</v>
      </c>
      <c r="G6" s="9" t="s">
        <v>11</v>
      </c>
      <c r="H6" s="39"/>
      <c r="I6" s="37"/>
      <c r="J6" s="39"/>
      <c r="K6" s="41"/>
    </row>
    <row r="7" spans="1:11" ht="15.75" thickTop="1" x14ac:dyDescent="0.25"/>
    <row r="8" spans="1:11" x14ac:dyDescent="0.25">
      <c r="A8" s="48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 t="s">
        <v>138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44" t="s">
        <v>13</v>
      </c>
      <c r="B11" s="1">
        <f>C11+I11</f>
        <v>18</v>
      </c>
      <c r="C11" s="1">
        <f>D11+H11</f>
        <v>18</v>
      </c>
      <c r="D11" s="1">
        <f>E11</f>
        <v>18</v>
      </c>
      <c r="E11" s="1">
        <f>(19+15+20)/3</f>
        <v>18</v>
      </c>
      <c r="F11" s="1">
        <f>(19+15+20)/3</f>
        <v>18</v>
      </c>
      <c r="G11" s="1">
        <f>54/3</f>
        <v>18</v>
      </c>
      <c r="H11" s="1">
        <v>0</v>
      </c>
      <c r="I11" s="1">
        <f>SUM(J11:K11)</f>
        <v>0</v>
      </c>
      <c r="J11" s="1">
        <v>0</v>
      </c>
      <c r="K11" s="1">
        <v>0</v>
      </c>
    </row>
    <row r="12" spans="1:11" x14ac:dyDescent="0.25">
      <c r="A12" s="49" t="s">
        <v>139</v>
      </c>
      <c r="B12" s="1">
        <f t="shared" ref="B12:B16" si="0">C12+I12</f>
        <v>47</v>
      </c>
      <c r="C12" s="1">
        <f t="shared" ref="C12:C16" si="1">D12+H12</f>
        <v>47</v>
      </c>
      <c r="D12" s="1">
        <f t="shared" ref="D12:D16" si="2">E12</f>
        <v>47</v>
      </c>
      <c r="E12" s="1">
        <f>15+12+7+13</f>
        <v>47</v>
      </c>
      <c r="F12" s="1">
        <f>15+12+7+13</f>
        <v>47</v>
      </c>
      <c r="G12" s="1">
        <f>15+12+7+13</f>
        <v>47</v>
      </c>
      <c r="H12" s="1">
        <v>0</v>
      </c>
      <c r="I12" s="1">
        <f t="shared" ref="I12:I16" si="3">SUM(J12:K12)</f>
        <v>0</v>
      </c>
      <c r="J12" s="1">
        <v>0</v>
      </c>
      <c r="K12" s="1">
        <v>0</v>
      </c>
    </row>
    <row r="13" spans="1:11" x14ac:dyDescent="0.25">
      <c r="A13" s="44" t="s">
        <v>14</v>
      </c>
      <c r="B13" s="1">
        <f t="shared" si="0"/>
        <v>453</v>
      </c>
      <c r="C13" s="1">
        <f t="shared" si="1"/>
        <v>48</v>
      </c>
      <c r="D13" s="1">
        <f t="shared" si="2"/>
        <v>24</v>
      </c>
      <c r="E13" s="1">
        <f>24</f>
        <v>24</v>
      </c>
      <c r="F13" s="1">
        <f>24</f>
        <v>24</v>
      </c>
      <c r="G13" s="1">
        <f>24</f>
        <v>24</v>
      </c>
      <c r="H13" s="1">
        <v>24</v>
      </c>
      <c r="I13" s="1">
        <f t="shared" si="3"/>
        <v>405</v>
      </c>
      <c r="J13" s="1">
        <v>0</v>
      </c>
      <c r="K13" s="1">
        <v>405</v>
      </c>
    </row>
    <row r="14" spans="1:11" x14ac:dyDescent="0.25">
      <c r="A14" s="44" t="s">
        <v>15</v>
      </c>
      <c r="B14" s="1">
        <f t="shared" si="0"/>
        <v>66510</v>
      </c>
      <c r="C14" s="1">
        <f t="shared" si="1"/>
        <v>20</v>
      </c>
      <c r="D14" s="1">
        <f t="shared" si="2"/>
        <v>20</v>
      </c>
      <c r="E14" s="1">
        <f>(22+20+18)/3</f>
        <v>20</v>
      </c>
      <c r="F14" s="1">
        <f>(22+20+18)/3</f>
        <v>20</v>
      </c>
      <c r="G14" s="1">
        <f>(22+20+18)/3</f>
        <v>20</v>
      </c>
      <c r="H14" s="1">
        <v>0</v>
      </c>
      <c r="I14" s="1">
        <f t="shared" si="3"/>
        <v>66490</v>
      </c>
      <c r="J14" s="1">
        <v>66045</v>
      </c>
      <c r="K14" s="1">
        <v>445</v>
      </c>
    </row>
    <row r="15" spans="1:11" x14ac:dyDescent="0.25">
      <c r="A15" s="49" t="s">
        <v>139</v>
      </c>
      <c r="B15" s="1">
        <f t="shared" si="0"/>
        <v>66542</v>
      </c>
      <c r="C15" s="1">
        <f t="shared" si="1"/>
        <v>52</v>
      </c>
      <c r="D15" s="1">
        <f t="shared" si="2"/>
        <v>52</v>
      </c>
      <c r="E15" s="1">
        <f>21+9+6+16</f>
        <v>52</v>
      </c>
      <c r="F15" s="1">
        <f>21+9+6+16</f>
        <v>52</v>
      </c>
      <c r="G15" s="1">
        <f>21+9+6+16</f>
        <v>52</v>
      </c>
      <c r="H15" s="1">
        <v>0</v>
      </c>
      <c r="I15" s="1">
        <f t="shared" si="3"/>
        <v>66490</v>
      </c>
      <c r="J15" s="1">
        <v>66045</v>
      </c>
      <c r="K15" s="1">
        <v>445</v>
      </c>
    </row>
    <row r="16" spans="1:11" x14ac:dyDescent="0.25">
      <c r="A16" s="44" t="s">
        <v>16</v>
      </c>
      <c r="B16" s="1">
        <f t="shared" si="0"/>
        <v>679</v>
      </c>
      <c r="C16" s="1">
        <f t="shared" si="1"/>
        <v>192</v>
      </c>
      <c r="D16" s="1">
        <f t="shared" si="2"/>
        <v>96</v>
      </c>
      <c r="E16" s="1">
        <f>24*4</f>
        <v>96</v>
      </c>
      <c r="F16" s="1">
        <f>24*4</f>
        <v>96</v>
      </c>
      <c r="G16" s="1">
        <f>24*4</f>
        <v>96</v>
      </c>
      <c r="H16" s="1">
        <f>24*4</f>
        <v>96</v>
      </c>
      <c r="I16" s="1">
        <f t="shared" si="3"/>
        <v>487</v>
      </c>
      <c r="J16" s="1">
        <v>0</v>
      </c>
      <c r="K16" s="1">
        <v>487</v>
      </c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3" x14ac:dyDescent="0.25">
      <c r="A18" s="43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3" x14ac:dyDescent="0.25">
      <c r="A19" s="44" t="s">
        <v>13</v>
      </c>
      <c r="B19" s="1">
        <f>C19+I19</f>
        <v>1369361.5</v>
      </c>
      <c r="C19" s="1">
        <f>D19+H19</f>
        <v>1369361.5</v>
      </c>
      <c r="D19" s="1">
        <f>SUM(E19:G19)</f>
        <v>1369361.5</v>
      </c>
      <c r="E19" s="1">
        <f>359453.4+209681.1+389407.8</f>
        <v>958542.3</v>
      </c>
      <c r="F19" s="1">
        <f>154057.2+89866.7+166895.3</f>
        <v>410819.2</v>
      </c>
      <c r="G19" s="1">
        <v>0</v>
      </c>
      <c r="H19" s="1">
        <v>0</v>
      </c>
      <c r="I19" s="1">
        <f t="shared" ref="I19:I22" si="4">SUM(J19:K19)</f>
        <v>0</v>
      </c>
      <c r="J19" s="1">
        <v>0</v>
      </c>
      <c r="K19" s="1">
        <v>0</v>
      </c>
    </row>
    <row r="20" spans="1:13" x14ac:dyDescent="0.25">
      <c r="A20" s="44" t="s">
        <v>14</v>
      </c>
      <c r="B20" s="1">
        <f>C20+I20</f>
        <v>22310690.039999999</v>
      </c>
      <c r="C20" s="1">
        <f>D20+H20</f>
        <v>19640690.039999999</v>
      </c>
      <c r="D20" s="1">
        <f>SUM(E20:G20)</f>
        <v>14094690.030000001</v>
      </c>
      <c r="E20" s="1">
        <v>5104690.0200000005</v>
      </c>
      <c r="F20" s="1">
        <v>0</v>
      </c>
      <c r="G20" s="1">
        <v>8990000.0099999998</v>
      </c>
      <c r="H20" s="1">
        <v>5546000.0099999998</v>
      </c>
      <c r="I20" s="1">
        <f t="shared" si="4"/>
        <v>2670000</v>
      </c>
      <c r="J20" s="1">
        <v>0</v>
      </c>
      <c r="K20" s="1">
        <v>2670000</v>
      </c>
    </row>
    <row r="21" spans="1:13" x14ac:dyDescent="0.25">
      <c r="A21" s="44" t="s">
        <v>15</v>
      </c>
      <c r="B21" s="1">
        <f>C21+I21</f>
        <v>14343535</v>
      </c>
      <c r="C21" s="1">
        <f>D21+H21</f>
        <v>10732035</v>
      </c>
      <c r="D21" s="1">
        <f>SUM(E21:G21)</f>
        <v>10732035</v>
      </c>
      <c r="E21" s="1">
        <v>3922035</v>
      </c>
      <c r="F21" s="1">
        <v>6810000</v>
      </c>
      <c r="G21" s="1">
        <v>0</v>
      </c>
      <c r="H21" s="1">
        <v>0</v>
      </c>
      <c r="I21" s="1">
        <f>SUM(J21:K21)</f>
        <v>3611500</v>
      </c>
      <c r="J21" s="1">
        <v>3364000</v>
      </c>
      <c r="K21" s="1">
        <v>247500</v>
      </c>
      <c r="M21" s="1"/>
    </row>
    <row r="22" spans="1:13" x14ac:dyDescent="0.25">
      <c r="A22" s="44" t="s">
        <v>16</v>
      </c>
      <c r="B22" s="1">
        <f>C22+I22</f>
        <v>93891619.340000004</v>
      </c>
      <c r="C22" s="1">
        <f>D22+H22</f>
        <v>81903993.340000004</v>
      </c>
      <c r="D22" s="1">
        <f>SUM(E22:G22)</f>
        <v>61428660</v>
      </c>
      <c r="E22" s="1">
        <v>27128660</v>
      </c>
      <c r="F22" s="1">
        <v>9300000</v>
      </c>
      <c r="G22" s="1">
        <v>25000000</v>
      </c>
      <c r="H22" s="1">
        <v>20475333.340000004</v>
      </c>
      <c r="I22" s="1">
        <f t="shared" si="4"/>
        <v>11987626</v>
      </c>
      <c r="J22" s="1">
        <v>9017626</v>
      </c>
      <c r="K22" s="1">
        <v>2970000</v>
      </c>
    </row>
    <row r="23" spans="1:13" x14ac:dyDescent="0.25">
      <c r="A23" s="44" t="s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3" x14ac:dyDescent="0.25">
      <c r="A25" s="43" t="s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3" x14ac:dyDescent="0.25">
      <c r="A26" s="44" t="s">
        <v>14</v>
      </c>
      <c r="B26" s="1">
        <f>B20</f>
        <v>22310690.039999999</v>
      </c>
      <c r="C26" s="1">
        <f>C20</f>
        <v>19640690.039999999</v>
      </c>
      <c r="D26" s="1"/>
      <c r="E26" s="1"/>
      <c r="F26" s="1"/>
      <c r="G26" s="1"/>
      <c r="H26" s="1"/>
      <c r="I26" s="1">
        <f>I20</f>
        <v>2670000</v>
      </c>
      <c r="J26" s="1"/>
      <c r="K26" s="1"/>
    </row>
    <row r="27" spans="1:13" x14ac:dyDescent="0.25">
      <c r="A27" s="44" t="s">
        <v>15</v>
      </c>
      <c r="B27" s="1">
        <f>+C27+I27</f>
        <v>42410850.75</v>
      </c>
      <c r="C27" s="1">
        <v>30882323</v>
      </c>
      <c r="D27" s="1"/>
      <c r="E27" s="1"/>
      <c r="F27" s="1"/>
      <c r="G27" s="1"/>
      <c r="H27" s="1"/>
      <c r="I27" s="1">
        <v>11528527.75</v>
      </c>
      <c r="J27" s="1"/>
      <c r="K27" s="1">
        <v>0</v>
      </c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3" x14ac:dyDescent="0.25">
      <c r="A29" s="1" t="s">
        <v>20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3" x14ac:dyDescent="0.25">
      <c r="A30" s="44" t="s">
        <v>21</v>
      </c>
      <c r="B30" s="45">
        <v>1.4042433660666667</v>
      </c>
      <c r="C30" s="45">
        <v>1.4042433660666667</v>
      </c>
      <c r="D30" s="45">
        <v>1.4042433660666667</v>
      </c>
      <c r="E30" s="45">
        <v>1.4042433660666667</v>
      </c>
      <c r="F30" s="45">
        <v>1.4042433660666667</v>
      </c>
      <c r="G30" s="45">
        <v>1.4042433660666667</v>
      </c>
      <c r="H30" s="45">
        <v>1.4042433660666667</v>
      </c>
      <c r="I30" s="45">
        <v>1.40424336606667</v>
      </c>
      <c r="J30" s="45">
        <v>1.40424336606667</v>
      </c>
      <c r="K30" s="45">
        <v>1.40424336606667</v>
      </c>
    </row>
    <row r="31" spans="1:13" x14ac:dyDescent="0.25">
      <c r="A31" s="44" t="s">
        <v>22</v>
      </c>
      <c r="B31" s="45">
        <v>1.4773597119666666</v>
      </c>
      <c r="C31" s="45">
        <v>1.4773597119666666</v>
      </c>
      <c r="D31" s="45">
        <v>1.4773597119666666</v>
      </c>
      <c r="E31" s="45">
        <v>1.4773597119666666</v>
      </c>
      <c r="F31" s="45">
        <v>1.4773597119666666</v>
      </c>
      <c r="G31" s="45">
        <v>1.4773597119666666</v>
      </c>
      <c r="H31" s="45">
        <v>1.4773597119666666</v>
      </c>
      <c r="I31" s="45">
        <v>1.4773597119666699</v>
      </c>
      <c r="J31" s="45">
        <v>1.4773597119666699</v>
      </c>
      <c r="K31" s="45">
        <v>1.4773597119666699</v>
      </c>
    </row>
    <row r="32" spans="1:13" x14ac:dyDescent="0.25">
      <c r="A32" s="44" t="s">
        <v>23</v>
      </c>
      <c r="B32" s="1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48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 t="s">
        <v>25</v>
      </c>
      <c r="B35" s="1">
        <f>B19/B30</f>
        <v>975159.67181360314</v>
      </c>
      <c r="C35" s="1">
        <f t="shared" ref="C35:K35" si="5">C19/C30</f>
        <v>975159.67181360314</v>
      </c>
      <c r="D35" s="1">
        <f>D19/D30</f>
        <v>975159.67181360314</v>
      </c>
      <c r="E35" s="1">
        <f t="shared" si="5"/>
        <v>682604.11490132904</v>
      </c>
      <c r="F35" s="1">
        <f t="shared" si="5"/>
        <v>292555.5569122741</v>
      </c>
      <c r="G35" s="1">
        <f t="shared" si="5"/>
        <v>0</v>
      </c>
      <c r="H35" s="1">
        <f t="shared" si="5"/>
        <v>0</v>
      </c>
      <c r="I35" s="1">
        <f t="shared" si="5"/>
        <v>0</v>
      </c>
      <c r="J35" s="1">
        <f t="shared" si="5"/>
        <v>0</v>
      </c>
      <c r="K35" s="1">
        <f t="shared" si="5"/>
        <v>0</v>
      </c>
    </row>
    <row r="36" spans="1:11" x14ac:dyDescent="0.25">
      <c r="A36" s="1" t="s">
        <v>26</v>
      </c>
      <c r="B36" s="1">
        <f t="shared" ref="B36:I36" si="6">B21/B31</f>
        <v>9708898.1673297659</v>
      </c>
      <c r="C36" s="1">
        <f t="shared" si="6"/>
        <v>7264334.4156945208</v>
      </c>
      <c r="D36" s="1">
        <f t="shared" si="6"/>
        <v>7264334.4156945208</v>
      </c>
      <c r="E36" s="1">
        <f t="shared" si="6"/>
        <v>2654759.6825819574</v>
      </c>
      <c r="F36" s="1">
        <f t="shared" si="6"/>
        <v>4609574.7331125624</v>
      </c>
      <c r="G36" s="1">
        <f>G21/G31</f>
        <v>0</v>
      </c>
      <c r="H36" s="1">
        <f t="shared" si="6"/>
        <v>0</v>
      </c>
      <c r="I36" s="1">
        <f t="shared" si="6"/>
        <v>2444563.7516352399</v>
      </c>
      <c r="J36" s="1">
        <f>J21/J31</f>
        <v>2277035.1545067001</v>
      </c>
      <c r="K36" s="1">
        <f>K21/K31</f>
        <v>167528.5971285399</v>
      </c>
    </row>
    <row r="37" spans="1:11" x14ac:dyDescent="0.25">
      <c r="A37" s="1" t="s">
        <v>27</v>
      </c>
      <c r="B37" s="1">
        <f t="shared" ref="B37:K37" si="7">B35/B11</f>
        <v>54175.537322977951</v>
      </c>
      <c r="C37" s="1">
        <f t="shared" si="7"/>
        <v>54175.537322977951</v>
      </c>
      <c r="D37" s="1">
        <f t="shared" si="7"/>
        <v>54175.537322977951</v>
      </c>
      <c r="E37" s="1">
        <f t="shared" si="7"/>
        <v>37922.450827851615</v>
      </c>
      <c r="F37" s="1">
        <f t="shared" si="7"/>
        <v>16253.086495126339</v>
      </c>
      <c r="G37" s="1">
        <f t="shared" si="7"/>
        <v>0</v>
      </c>
      <c r="H37" s="1" t="e">
        <f t="shared" si="7"/>
        <v>#DIV/0!</v>
      </c>
      <c r="I37" s="1" t="e">
        <f t="shared" si="7"/>
        <v>#DIV/0!</v>
      </c>
      <c r="J37" s="1" t="e">
        <f t="shared" si="7"/>
        <v>#DIV/0!</v>
      </c>
      <c r="K37" s="1" t="e">
        <f t="shared" si="7"/>
        <v>#DIV/0!</v>
      </c>
    </row>
    <row r="38" spans="1:11" x14ac:dyDescent="0.25">
      <c r="A38" s="1" t="s">
        <v>28</v>
      </c>
      <c r="B38" s="1">
        <f t="shared" ref="B38:K38" si="8">B36/B14</f>
        <v>145.9765173256618</v>
      </c>
      <c r="C38" s="1">
        <f t="shared" si="8"/>
        <v>363216.72078472603</v>
      </c>
      <c r="D38" s="1">
        <f t="shared" si="8"/>
        <v>363216.72078472603</v>
      </c>
      <c r="E38" s="1">
        <f t="shared" si="8"/>
        <v>132737.98412909787</v>
      </c>
      <c r="F38" s="1">
        <f t="shared" si="8"/>
        <v>230478.73665562813</v>
      </c>
      <c r="G38" s="1">
        <f t="shared" si="8"/>
        <v>0</v>
      </c>
      <c r="H38" s="1" t="e">
        <f t="shared" si="8"/>
        <v>#DIV/0!</v>
      </c>
      <c r="I38" s="1">
        <f t="shared" si="8"/>
        <v>36.765885872089633</v>
      </c>
      <c r="J38" s="1">
        <f t="shared" si="8"/>
        <v>34.477025581144673</v>
      </c>
      <c r="K38" s="1">
        <f t="shared" si="8"/>
        <v>376.46875759222451</v>
      </c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48" t="s">
        <v>29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 t="s">
        <v>31</v>
      </c>
      <c r="B43" s="1"/>
      <c r="C43" s="1" t="e">
        <f t="shared" ref="C43:K43" si="9">(C13/C32)*100</f>
        <v>#DIV/0!</v>
      </c>
      <c r="D43" s="1" t="e">
        <f t="shared" si="9"/>
        <v>#DIV/0!</v>
      </c>
      <c r="E43" s="1" t="e">
        <f t="shared" si="9"/>
        <v>#DIV/0!</v>
      </c>
      <c r="F43" s="1" t="e">
        <f t="shared" si="9"/>
        <v>#DIV/0!</v>
      </c>
      <c r="G43" s="1" t="e">
        <f t="shared" si="9"/>
        <v>#DIV/0!</v>
      </c>
      <c r="H43" s="1" t="e">
        <f t="shared" si="9"/>
        <v>#DIV/0!</v>
      </c>
      <c r="I43" s="1" t="e">
        <f t="shared" si="9"/>
        <v>#DIV/0!</v>
      </c>
      <c r="J43" s="1" t="e">
        <f t="shared" si="9"/>
        <v>#DIV/0!</v>
      </c>
      <c r="K43" s="1" t="e">
        <f t="shared" si="9"/>
        <v>#DIV/0!</v>
      </c>
    </row>
    <row r="44" spans="1:11" x14ac:dyDescent="0.25">
      <c r="A44" s="1" t="s">
        <v>32</v>
      </c>
      <c r="B44" s="1"/>
      <c r="C44" s="1" t="e">
        <f>(C15/C32)*100</f>
        <v>#DIV/0!</v>
      </c>
      <c r="D44" s="1" t="e">
        <f t="shared" ref="D44:K44" si="10">(D15/D32)*100</f>
        <v>#DIV/0!</v>
      </c>
      <c r="E44" s="1" t="e">
        <f t="shared" si="10"/>
        <v>#DIV/0!</v>
      </c>
      <c r="F44" s="1" t="e">
        <f t="shared" si="10"/>
        <v>#DIV/0!</v>
      </c>
      <c r="G44" s="1" t="e">
        <f t="shared" si="10"/>
        <v>#DIV/0!</v>
      </c>
      <c r="H44" s="1" t="e">
        <f t="shared" si="10"/>
        <v>#DIV/0!</v>
      </c>
      <c r="I44" s="1" t="e">
        <f t="shared" si="10"/>
        <v>#DIV/0!</v>
      </c>
      <c r="J44" s="1" t="e">
        <f t="shared" si="10"/>
        <v>#DIV/0!</v>
      </c>
      <c r="K44" s="1" t="e">
        <f t="shared" si="10"/>
        <v>#DIV/0!</v>
      </c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 t="s">
        <v>33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 t="s">
        <v>34</v>
      </c>
      <c r="B47" s="1">
        <f>B14/B13*100</f>
        <v>14682.119205298013</v>
      </c>
      <c r="C47" s="1">
        <f t="shared" ref="C47:K47" si="11">C14/C13*100</f>
        <v>41.666666666666671</v>
      </c>
      <c r="D47" s="1">
        <f t="shared" si="11"/>
        <v>83.333333333333343</v>
      </c>
      <c r="E47" s="1">
        <f t="shared" si="11"/>
        <v>83.333333333333343</v>
      </c>
      <c r="F47" s="1">
        <f t="shared" si="11"/>
        <v>83.333333333333343</v>
      </c>
      <c r="G47" s="1">
        <f t="shared" si="11"/>
        <v>83.333333333333343</v>
      </c>
      <c r="H47" s="1">
        <f t="shared" si="11"/>
        <v>0</v>
      </c>
      <c r="I47" s="1">
        <f t="shared" si="11"/>
        <v>16417.283950617282</v>
      </c>
      <c r="J47" s="1" t="e">
        <f t="shared" si="11"/>
        <v>#DIV/0!</v>
      </c>
      <c r="K47" s="1">
        <f t="shared" si="11"/>
        <v>109.87654320987654</v>
      </c>
    </row>
    <row r="48" spans="1:11" x14ac:dyDescent="0.25">
      <c r="A48" s="1" t="s">
        <v>35</v>
      </c>
      <c r="B48" s="1">
        <f>B21/B20*100</f>
        <v>64.289965815866807</v>
      </c>
      <c r="C48" s="1">
        <f t="shared" ref="C48:I48" si="12">C21/C20*100</f>
        <v>54.641842919690006</v>
      </c>
      <c r="D48" s="1">
        <f t="shared" si="12"/>
        <v>76.142398145381549</v>
      </c>
      <c r="E48" s="1">
        <f t="shared" si="12"/>
        <v>76.831991455575192</v>
      </c>
      <c r="F48" s="1" t="e">
        <f t="shared" si="12"/>
        <v>#DIV/0!</v>
      </c>
      <c r="G48" s="1">
        <f t="shared" si="12"/>
        <v>0</v>
      </c>
      <c r="H48" s="1">
        <f t="shared" si="12"/>
        <v>0</v>
      </c>
      <c r="I48" s="1">
        <f t="shared" si="12"/>
        <v>135.26217228464418</v>
      </c>
      <c r="J48" s="1" t="e">
        <f>J21/J20*100</f>
        <v>#DIV/0!</v>
      </c>
      <c r="K48" s="1">
        <f>K21/K20*100</f>
        <v>9.2696629213483153</v>
      </c>
    </row>
    <row r="49" spans="1:11" x14ac:dyDescent="0.25">
      <c r="A49" s="1" t="s">
        <v>36</v>
      </c>
      <c r="B49" s="1">
        <f t="shared" ref="B49:K49" si="13">AVERAGE(B47:B48)</f>
        <v>7373.2045855569404</v>
      </c>
      <c r="C49" s="1">
        <f t="shared" si="13"/>
        <v>48.154254793178339</v>
      </c>
      <c r="D49" s="1">
        <f t="shared" si="13"/>
        <v>79.737865739357446</v>
      </c>
      <c r="E49" s="1">
        <f t="shared" si="13"/>
        <v>80.082662394454275</v>
      </c>
      <c r="F49" s="1" t="e">
        <f t="shared" si="13"/>
        <v>#DIV/0!</v>
      </c>
      <c r="G49" s="1">
        <f t="shared" si="13"/>
        <v>41.666666666666671</v>
      </c>
      <c r="H49" s="1">
        <f t="shared" si="13"/>
        <v>0</v>
      </c>
      <c r="I49" s="1">
        <f t="shared" si="13"/>
        <v>8276.2730614509637</v>
      </c>
      <c r="J49" s="1" t="e">
        <f t="shared" si="13"/>
        <v>#DIV/0!</v>
      </c>
      <c r="K49" s="1">
        <f t="shared" si="13"/>
        <v>59.573103065612429</v>
      </c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 t="s">
        <v>37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 t="s">
        <v>38</v>
      </c>
      <c r="B52" s="1">
        <f>(B14/(B16*4))*100</f>
        <v>2448.8217967599412</v>
      </c>
      <c r="C52" s="1">
        <f t="shared" ref="C52:K52" si="14">(C14/(C16*4))*100</f>
        <v>2.604166666666667</v>
      </c>
      <c r="D52" s="1">
        <f t="shared" si="14"/>
        <v>5.2083333333333339</v>
      </c>
      <c r="E52" s="1">
        <f t="shared" si="14"/>
        <v>5.2083333333333339</v>
      </c>
      <c r="F52" s="1">
        <f t="shared" si="14"/>
        <v>5.2083333333333339</v>
      </c>
      <c r="G52" s="1">
        <f t="shared" si="14"/>
        <v>5.2083333333333339</v>
      </c>
      <c r="H52" s="1">
        <f t="shared" si="14"/>
        <v>0</v>
      </c>
      <c r="I52" s="1">
        <f t="shared" si="14"/>
        <v>3413.2443531827512</v>
      </c>
      <c r="J52" s="1" t="e">
        <f t="shared" si="14"/>
        <v>#DIV/0!</v>
      </c>
      <c r="K52" s="1">
        <f t="shared" si="14"/>
        <v>22.843942505133473</v>
      </c>
    </row>
    <row r="53" spans="1:11" x14ac:dyDescent="0.25">
      <c r="A53" s="1" t="s">
        <v>39</v>
      </c>
      <c r="B53" s="1">
        <f>B21/B22*100</f>
        <v>15.276693597177445</v>
      </c>
      <c r="C53" s="1">
        <f t="shared" ref="C53:I53" si="15">C21/C22*100</f>
        <v>13.103188943973901</v>
      </c>
      <c r="D53" s="1">
        <f t="shared" si="15"/>
        <v>17.470729460808684</v>
      </c>
      <c r="E53" s="1">
        <f t="shared" si="15"/>
        <v>14.457164489510355</v>
      </c>
      <c r="F53" s="1">
        <f t="shared" si="15"/>
        <v>73.225806451612911</v>
      </c>
      <c r="G53" s="1">
        <f t="shared" si="15"/>
        <v>0</v>
      </c>
      <c r="H53" s="1">
        <f t="shared" si="15"/>
        <v>0</v>
      </c>
      <c r="I53" s="1">
        <f t="shared" si="15"/>
        <v>30.126899187545558</v>
      </c>
      <c r="J53" s="1">
        <f>J21/J22*100</f>
        <v>37.30471855896441</v>
      </c>
      <c r="K53" s="1">
        <f>K21/K22*100</f>
        <v>8.3333333333333321</v>
      </c>
    </row>
    <row r="54" spans="1:11" x14ac:dyDescent="0.25">
      <c r="A54" s="1" t="s">
        <v>40</v>
      </c>
      <c r="B54" s="1">
        <f t="shared" ref="B54:K54" si="16">(B52+B53)/2</f>
        <v>1232.0492451785594</v>
      </c>
      <c r="C54" s="1">
        <f t="shared" si="16"/>
        <v>7.8536778053202845</v>
      </c>
      <c r="D54" s="1">
        <f t="shared" si="16"/>
        <v>11.33953139707101</v>
      </c>
      <c r="E54" s="1">
        <f t="shared" si="16"/>
        <v>9.8327489114218452</v>
      </c>
      <c r="F54" s="1">
        <f t="shared" si="16"/>
        <v>39.21706989247312</v>
      </c>
      <c r="G54" s="1">
        <f t="shared" si="16"/>
        <v>2.604166666666667</v>
      </c>
      <c r="H54" s="1">
        <f t="shared" si="16"/>
        <v>0</v>
      </c>
      <c r="I54" s="1">
        <f t="shared" si="16"/>
        <v>1721.6856261851483</v>
      </c>
      <c r="J54" s="1" t="e">
        <f t="shared" si="16"/>
        <v>#DIV/0!</v>
      </c>
      <c r="K54" s="1">
        <f t="shared" si="16"/>
        <v>15.588637919233403</v>
      </c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 t="s">
        <v>118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 t="s">
        <v>41</v>
      </c>
      <c r="B57" s="1">
        <f t="shared" ref="B57:I57" si="17">B23/B21*100</f>
        <v>0</v>
      </c>
      <c r="C57" s="1">
        <f t="shared" si="17"/>
        <v>0</v>
      </c>
      <c r="D57" s="1">
        <f t="shared" si="17"/>
        <v>0</v>
      </c>
      <c r="E57" s="1">
        <f t="shared" si="17"/>
        <v>0</v>
      </c>
      <c r="F57" s="1">
        <f t="shared" si="17"/>
        <v>0</v>
      </c>
      <c r="G57" s="1" t="e">
        <f t="shared" si="17"/>
        <v>#DIV/0!</v>
      </c>
      <c r="H57" s="1" t="e">
        <f t="shared" si="17"/>
        <v>#DIV/0!</v>
      </c>
      <c r="I57" s="1">
        <f t="shared" si="17"/>
        <v>0</v>
      </c>
      <c r="J57" s="1">
        <f>J23/J21*100</f>
        <v>0</v>
      </c>
      <c r="K57" s="1">
        <f>K23/K21*100</f>
        <v>0</v>
      </c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 t="s">
        <v>42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 t="s">
        <v>43</v>
      </c>
      <c r="B60" s="1">
        <f>((B14/B11)-1)*100</f>
        <v>369400</v>
      </c>
      <c r="C60" s="1">
        <f t="shared" ref="C60:K60" si="18">((C14/C11)-1)*100</f>
        <v>11.111111111111116</v>
      </c>
      <c r="D60" s="1">
        <f t="shared" si="18"/>
        <v>11.111111111111116</v>
      </c>
      <c r="E60" s="1">
        <f t="shared" si="18"/>
        <v>11.111111111111116</v>
      </c>
      <c r="F60" s="1">
        <f t="shared" si="18"/>
        <v>11.111111111111116</v>
      </c>
      <c r="G60" s="1">
        <f>((G14/G11)-1)*100</f>
        <v>11.111111111111116</v>
      </c>
      <c r="H60" s="1" t="e">
        <f t="shared" si="18"/>
        <v>#DIV/0!</v>
      </c>
      <c r="I60" s="1" t="e">
        <f t="shared" si="18"/>
        <v>#DIV/0!</v>
      </c>
      <c r="J60" s="1" t="e">
        <f t="shared" si="18"/>
        <v>#DIV/0!</v>
      </c>
      <c r="K60" s="1" t="e">
        <f t="shared" si="18"/>
        <v>#DIV/0!</v>
      </c>
    </row>
    <row r="61" spans="1:11" x14ac:dyDescent="0.25">
      <c r="A61" s="1" t="s">
        <v>44</v>
      </c>
      <c r="B61" s="1">
        <f>((B36/B35)-1)*100</f>
        <v>895.62137852492856</v>
      </c>
      <c r="C61" s="1">
        <f>((C36/C35)-1)*100</f>
        <v>644.93794459160756</v>
      </c>
      <c r="D61" s="1">
        <f t="shared" ref="D61:K61" si="19">((D36/D35)-1)*100</f>
        <v>644.93794459160756</v>
      </c>
      <c r="E61" s="1">
        <f t="shared" si="19"/>
        <v>288.91644873334894</v>
      </c>
      <c r="F61" s="1">
        <f t="shared" si="19"/>
        <v>1475.6237146077497</v>
      </c>
      <c r="G61" s="1" t="e">
        <f t="shared" si="19"/>
        <v>#DIV/0!</v>
      </c>
      <c r="H61" s="1" t="e">
        <f t="shared" si="19"/>
        <v>#DIV/0!</v>
      </c>
      <c r="I61" s="1" t="e">
        <f t="shared" si="19"/>
        <v>#DIV/0!</v>
      </c>
      <c r="J61" s="1" t="e">
        <f t="shared" si="19"/>
        <v>#DIV/0!</v>
      </c>
      <c r="K61" s="1" t="e">
        <f t="shared" si="19"/>
        <v>#DIV/0!</v>
      </c>
    </row>
    <row r="62" spans="1:11" x14ac:dyDescent="0.25">
      <c r="A62" s="1" t="s">
        <v>45</v>
      </c>
      <c r="B62" s="1">
        <f t="shared" ref="B62:K62" si="20">((B38/B37)-1)*100</f>
        <v>-99.730549017990541</v>
      </c>
      <c r="C62" s="1">
        <f t="shared" si="20"/>
        <v>570.44415013244679</v>
      </c>
      <c r="D62" s="1">
        <f t="shared" si="20"/>
        <v>570.44415013244679</v>
      </c>
      <c r="E62" s="1">
        <f t="shared" si="20"/>
        <v>250.024803860014</v>
      </c>
      <c r="F62" s="1">
        <f t="shared" si="20"/>
        <v>1318.0613431469749</v>
      </c>
      <c r="G62" s="1" t="e">
        <f t="shared" si="20"/>
        <v>#DIV/0!</v>
      </c>
      <c r="H62" s="1" t="e">
        <f t="shared" si="20"/>
        <v>#DIV/0!</v>
      </c>
      <c r="I62" s="1" t="e">
        <f t="shared" si="20"/>
        <v>#DIV/0!</v>
      </c>
      <c r="J62" s="1" t="e">
        <f t="shared" si="20"/>
        <v>#DIV/0!</v>
      </c>
      <c r="K62" s="1" t="e">
        <f t="shared" si="20"/>
        <v>#DIV/0!</v>
      </c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 t="s">
        <v>46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 t="s">
        <v>128</v>
      </c>
      <c r="B65" s="1">
        <f t="shared" ref="B65:K65" si="21">B20/B13</f>
        <v>49250.971390728475</v>
      </c>
      <c r="C65" s="1">
        <f t="shared" si="21"/>
        <v>409181.04249999998</v>
      </c>
      <c r="D65" s="1">
        <f t="shared" si="21"/>
        <v>587278.75125000009</v>
      </c>
      <c r="E65" s="1">
        <f t="shared" si="21"/>
        <v>212695.41750000001</v>
      </c>
      <c r="F65" s="1">
        <f t="shared" si="21"/>
        <v>0</v>
      </c>
      <c r="G65" s="1">
        <f t="shared" si="21"/>
        <v>374583.33374999999</v>
      </c>
      <c r="H65" s="1">
        <f t="shared" si="21"/>
        <v>231083.33374999999</v>
      </c>
      <c r="I65" s="1">
        <f t="shared" si="21"/>
        <v>6592.5925925925922</v>
      </c>
      <c r="J65" s="1" t="e">
        <f t="shared" si="21"/>
        <v>#DIV/0!</v>
      </c>
      <c r="K65" s="1">
        <f t="shared" si="21"/>
        <v>6592.5925925925922</v>
      </c>
    </row>
    <row r="66" spans="1:11" x14ac:dyDescent="0.25">
      <c r="A66" s="1" t="s">
        <v>129</v>
      </c>
      <c r="B66" s="1">
        <f t="shared" ref="B66:K66" si="22">B21/B14</f>
        <v>215.65982559013682</v>
      </c>
      <c r="C66" s="1">
        <f t="shared" si="22"/>
        <v>536601.75</v>
      </c>
      <c r="D66" s="1">
        <f t="shared" si="22"/>
        <v>536601.75</v>
      </c>
      <c r="E66" s="1">
        <f t="shared" si="22"/>
        <v>196101.75</v>
      </c>
      <c r="F66" s="1">
        <f t="shared" si="22"/>
        <v>340500</v>
      </c>
      <c r="G66" s="1">
        <f t="shared" si="22"/>
        <v>0</v>
      </c>
      <c r="H66" s="1" t="e">
        <f t="shared" si="22"/>
        <v>#DIV/0!</v>
      </c>
      <c r="I66" s="1">
        <f t="shared" si="22"/>
        <v>54.316438562189802</v>
      </c>
      <c r="J66" s="1">
        <f t="shared" si="22"/>
        <v>50.934968582027409</v>
      </c>
      <c r="K66" s="1">
        <f t="shared" si="22"/>
        <v>556.17977528089887</v>
      </c>
    </row>
    <row r="67" spans="1:11" x14ac:dyDescent="0.25">
      <c r="A67" s="1" t="s">
        <v>47</v>
      </c>
      <c r="B67" s="1">
        <f>(B65/B66)*B49</f>
        <v>1683843.9292415942</v>
      </c>
      <c r="C67" s="1">
        <f t="shared" ref="C67:K67" si="23">(C65/C66)*C49</f>
        <v>36.719612220950332</v>
      </c>
      <c r="D67" s="1">
        <f t="shared" si="23"/>
        <v>87.268359111296235</v>
      </c>
      <c r="E67" s="1">
        <f t="shared" si="23"/>
        <v>86.859068379043023</v>
      </c>
      <c r="F67" s="1" t="e">
        <f t="shared" si="23"/>
        <v>#DIV/0!</v>
      </c>
      <c r="G67" s="1" t="e">
        <f t="shared" si="23"/>
        <v>#DIV/0!</v>
      </c>
      <c r="H67" s="1" t="e">
        <f t="shared" si="23"/>
        <v>#DIV/0!</v>
      </c>
      <c r="I67" s="1">
        <f t="shared" si="23"/>
        <v>1004522.7176801028</v>
      </c>
      <c r="J67" s="1" t="e">
        <f t="shared" si="23"/>
        <v>#DIV/0!</v>
      </c>
      <c r="K67" s="1">
        <f t="shared" si="23"/>
        <v>706.14073981700869</v>
      </c>
    </row>
    <row r="68" spans="1:11" s="1" customFormat="1" x14ac:dyDescent="0.25">
      <c r="A68" s="1" t="s">
        <v>130</v>
      </c>
      <c r="B68" s="1">
        <f>B20/(B13*3)</f>
        <v>16416.99046357616</v>
      </c>
      <c r="C68" s="1">
        <f t="shared" ref="C68:K68" si="24">C20/(C13*3)</f>
        <v>136393.68083333332</v>
      </c>
      <c r="D68" s="1">
        <f t="shared" si="24"/>
        <v>195759.58375000002</v>
      </c>
      <c r="E68" s="1">
        <f t="shared" si="24"/>
        <v>70898.472500000003</v>
      </c>
      <c r="F68" s="1">
        <f t="shared" si="24"/>
        <v>0</v>
      </c>
      <c r="G68" s="1">
        <f t="shared" si="24"/>
        <v>124861.11125</v>
      </c>
      <c r="H68" s="1">
        <f t="shared" si="24"/>
        <v>77027.777916666659</v>
      </c>
      <c r="I68" s="1">
        <f t="shared" si="24"/>
        <v>2197.5308641975307</v>
      </c>
      <c r="J68" s="1" t="e">
        <f t="shared" si="24"/>
        <v>#DIV/0!</v>
      </c>
      <c r="K68" s="1">
        <f t="shared" si="24"/>
        <v>2197.5308641975307</v>
      </c>
    </row>
    <row r="69" spans="1:11" s="1" customFormat="1" x14ac:dyDescent="0.25">
      <c r="A69" s="1" t="s">
        <v>131</v>
      </c>
      <c r="B69" s="1">
        <f>B21/(B14*3)</f>
        <v>71.886608530045606</v>
      </c>
      <c r="C69" s="1">
        <f t="shared" ref="C69:K69" si="25">C21/(C14*3)</f>
        <v>178867.25</v>
      </c>
      <c r="D69" s="1">
        <f t="shared" si="25"/>
        <v>178867.25</v>
      </c>
      <c r="E69" s="1">
        <f t="shared" si="25"/>
        <v>65367.25</v>
      </c>
      <c r="F69" s="1">
        <f t="shared" si="25"/>
        <v>113500</v>
      </c>
      <c r="G69" s="1">
        <f t="shared" si="25"/>
        <v>0</v>
      </c>
      <c r="H69" s="1" t="e">
        <f t="shared" si="25"/>
        <v>#DIV/0!</v>
      </c>
      <c r="I69" s="1">
        <f t="shared" si="25"/>
        <v>18.105479520729933</v>
      </c>
      <c r="J69" s="1">
        <f t="shared" si="25"/>
        <v>16.978322860675803</v>
      </c>
      <c r="K69" s="1">
        <f t="shared" si="25"/>
        <v>185.3932584269663</v>
      </c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 t="s">
        <v>48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 t="s">
        <v>49</v>
      </c>
      <c r="B72" s="1">
        <f>(B27/B26)*100</f>
        <v>190.09206202929258</v>
      </c>
      <c r="C72" s="1">
        <f>(C27/C26)*100</f>
        <v>157.23644605716714</v>
      </c>
      <c r="D72" s="1"/>
      <c r="E72" s="1"/>
      <c r="F72" s="1"/>
      <c r="G72" s="1"/>
      <c r="H72" s="1"/>
      <c r="I72" s="1">
        <f>(I27/I26)*100</f>
        <v>431.78006554307115</v>
      </c>
      <c r="J72" s="1"/>
      <c r="K72" s="1"/>
    </row>
    <row r="73" spans="1:11" x14ac:dyDescent="0.25">
      <c r="A73" s="1" t="s">
        <v>50</v>
      </c>
      <c r="B73" s="1">
        <f>(B21/B27)*100</f>
        <v>33.820436860724847</v>
      </c>
      <c r="C73" s="1">
        <f>(C21/C27)*100</f>
        <v>34.751385120866715</v>
      </c>
      <c r="D73" s="1"/>
      <c r="E73" s="1"/>
      <c r="F73" s="1"/>
      <c r="G73" s="1"/>
      <c r="H73" s="1"/>
      <c r="I73" s="1">
        <f>(I21/I27)*100</f>
        <v>31.326636655751646</v>
      </c>
      <c r="J73" s="1"/>
      <c r="K73" s="1"/>
    </row>
    <row r="74" spans="1:11" ht="15.75" thickBot="1" x14ac:dyDescent="0.3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1:11" ht="15.75" thickTop="1" x14ac:dyDescent="0.25">
      <c r="A75" s="16" t="s">
        <v>119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6" t="s">
        <v>120</v>
      </c>
    </row>
    <row r="77" spans="1:11" x14ac:dyDescent="0.25">
      <c r="A77" s="16" t="s">
        <v>121</v>
      </c>
    </row>
    <row r="78" spans="1:11" x14ac:dyDescent="0.25">
      <c r="A78" s="16" t="s">
        <v>122</v>
      </c>
    </row>
    <row r="79" spans="1:11" x14ac:dyDescent="0.25">
      <c r="A79" s="16" t="s">
        <v>123</v>
      </c>
    </row>
    <row r="80" spans="1:11" x14ac:dyDescent="0.25">
      <c r="A80" s="16" t="s">
        <v>126</v>
      </c>
    </row>
    <row r="82" spans="1:1" x14ac:dyDescent="0.25">
      <c r="A82" s="2" t="s">
        <v>124</v>
      </c>
    </row>
    <row r="83" spans="1:1" x14ac:dyDescent="0.25">
      <c r="A83" s="2" t="s">
        <v>125</v>
      </c>
    </row>
    <row r="84" spans="1:1" x14ac:dyDescent="0.25">
      <c r="A84" s="2" t="s">
        <v>127</v>
      </c>
    </row>
    <row r="85" spans="1:1" x14ac:dyDescent="0.25">
      <c r="A85" s="2" t="s">
        <v>141</v>
      </c>
    </row>
    <row r="86" spans="1:1" x14ac:dyDescent="0.25">
      <c r="A86" s="2" t="s">
        <v>142</v>
      </c>
    </row>
    <row r="87" spans="1:1" x14ac:dyDescent="0.25">
      <c r="A87" s="2" t="s">
        <v>143</v>
      </c>
    </row>
    <row r="88" spans="1:1" x14ac:dyDescent="0.25">
      <c r="A88" s="17" t="s">
        <v>144</v>
      </c>
    </row>
  </sheetData>
  <mergeCells count="11">
    <mergeCell ref="A2:K2"/>
    <mergeCell ref="A4:A6"/>
    <mergeCell ref="B4:B6"/>
    <mergeCell ref="C4:H4"/>
    <mergeCell ref="I4:K4"/>
    <mergeCell ref="C5:C6"/>
    <mergeCell ref="D5:G5"/>
    <mergeCell ref="H5:H6"/>
    <mergeCell ref="I5:I6"/>
    <mergeCell ref="J5:J6"/>
    <mergeCell ref="K5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8"/>
  <sheetViews>
    <sheetView topLeftCell="A85" zoomScale="90" zoomScaleNormal="90" workbookViewId="0">
      <selection activeCell="M13" sqref="M13"/>
    </sheetView>
  </sheetViews>
  <sheetFormatPr baseColWidth="10" defaultColWidth="11.42578125" defaultRowHeight="15" x14ac:dyDescent="0.25"/>
  <cols>
    <col min="1" max="1" width="50.85546875" style="2" customWidth="1"/>
    <col min="2" max="2" width="16.28515625" style="2" bestFit="1" customWidth="1"/>
    <col min="3" max="10" width="13.7109375" style="2" customWidth="1"/>
    <col min="11" max="11" width="14" style="2" customWidth="1"/>
    <col min="12" max="16384" width="11.42578125" style="2"/>
  </cols>
  <sheetData>
    <row r="2" spans="1:11" ht="15.75" x14ac:dyDescent="0.25">
      <c r="A2" s="24" t="s">
        <v>74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 ht="20.100000000000001" customHeight="1" x14ac:dyDescent="0.25">
      <c r="A4" s="25" t="s">
        <v>0</v>
      </c>
      <c r="B4" s="28" t="s">
        <v>1</v>
      </c>
      <c r="C4" s="31" t="s">
        <v>2</v>
      </c>
      <c r="D4" s="32"/>
      <c r="E4" s="32"/>
      <c r="F4" s="32"/>
      <c r="G4" s="32"/>
      <c r="H4" s="33"/>
      <c r="I4" s="31" t="s">
        <v>3</v>
      </c>
      <c r="J4" s="32"/>
      <c r="K4" s="33"/>
    </row>
    <row r="5" spans="1:11" ht="20.100000000000001" customHeight="1" x14ac:dyDescent="0.25">
      <c r="A5" s="26"/>
      <c r="B5" s="29"/>
      <c r="C5" s="34" t="s">
        <v>4</v>
      </c>
      <c r="D5" s="31" t="s">
        <v>5</v>
      </c>
      <c r="E5" s="32"/>
      <c r="F5" s="32"/>
      <c r="G5" s="33"/>
      <c r="H5" s="42" t="s">
        <v>6</v>
      </c>
      <c r="I5" s="36" t="s">
        <v>4</v>
      </c>
      <c r="J5" s="38" t="s">
        <v>7</v>
      </c>
      <c r="K5" s="40" t="s">
        <v>8</v>
      </c>
    </row>
    <row r="6" spans="1:11" ht="45.75" thickBot="1" x14ac:dyDescent="0.3">
      <c r="A6" s="27"/>
      <c r="B6" s="30"/>
      <c r="C6" s="35"/>
      <c r="D6" s="6" t="s">
        <v>4</v>
      </c>
      <c r="E6" s="7" t="s">
        <v>9</v>
      </c>
      <c r="F6" s="8" t="s">
        <v>10</v>
      </c>
      <c r="G6" s="9" t="s">
        <v>11</v>
      </c>
      <c r="H6" s="39"/>
      <c r="I6" s="37"/>
      <c r="J6" s="39"/>
      <c r="K6" s="41"/>
    </row>
    <row r="7" spans="1:11" ht="15.75" thickTop="1" x14ac:dyDescent="0.25"/>
    <row r="8" spans="1:11" x14ac:dyDescent="0.25">
      <c r="A8" s="48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 t="s">
        <v>138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44" t="s">
        <v>75</v>
      </c>
      <c r="B11" s="1">
        <f>C11+I11</f>
        <v>22.333333333333332</v>
      </c>
      <c r="C11" s="1">
        <f>D11+H11</f>
        <v>22.333333333333332</v>
      </c>
      <c r="D11" s="1">
        <f>E11</f>
        <v>22.333333333333332</v>
      </c>
      <c r="E11" s="1">
        <f>(22+22+23)/3</f>
        <v>22.333333333333332</v>
      </c>
      <c r="F11" s="1">
        <f>(22+22+23)/3</f>
        <v>22.333333333333332</v>
      </c>
      <c r="G11" s="1">
        <f>(22+22+23)/3</f>
        <v>22.333333333333332</v>
      </c>
      <c r="H11" s="1">
        <v>0</v>
      </c>
      <c r="I11" s="1">
        <f>SUM(J11:K11)</f>
        <v>0</v>
      </c>
      <c r="J11" s="1">
        <v>0</v>
      </c>
      <c r="K11" s="1">
        <v>0</v>
      </c>
    </row>
    <row r="12" spans="1:11" x14ac:dyDescent="0.25">
      <c r="A12" s="49" t="s">
        <v>139</v>
      </c>
      <c r="B12" s="1">
        <f t="shared" ref="B12:B16" si="0">C12+I12</f>
        <v>44</v>
      </c>
      <c r="C12" s="1">
        <f t="shared" ref="C12:C16" si="1">D12+H12</f>
        <v>44</v>
      </c>
      <c r="D12" s="1">
        <f t="shared" ref="D12:D16" si="2">E12</f>
        <v>44</v>
      </c>
      <c r="E12" s="1">
        <f>20+8+11+5</f>
        <v>44</v>
      </c>
      <c r="F12" s="1">
        <f>20+8+11+5</f>
        <v>44</v>
      </c>
      <c r="G12" s="1">
        <f>20+8+11+5</f>
        <v>44</v>
      </c>
      <c r="H12" s="1">
        <v>0</v>
      </c>
      <c r="I12" s="1">
        <f t="shared" ref="I12:I16" si="3">SUM(J12:K12)</f>
        <v>0</v>
      </c>
      <c r="J12" s="1">
        <v>0</v>
      </c>
      <c r="K12" s="1">
        <v>0</v>
      </c>
    </row>
    <row r="13" spans="1:11" x14ac:dyDescent="0.25">
      <c r="A13" s="44" t="s">
        <v>76</v>
      </c>
      <c r="B13" s="1">
        <f t="shared" si="0"/>
        <v>48</v>
      </c>
      <c r="C13" s="1">
        <f t="shared" si="1"/>
        <v>48</v>
      </c>
      <c r="D13" s="1">
        <f t="shared" si="2"/>
        <v>24</v>
      </c>
      <c r="E13" s="1">
        <f>24</f>
        <v>24</v>
      </c>
      <c r="F13" s="1">
        <f>24</f>
        <v>24</v>
      </c>
      <c r="G13" s="1">
        <f>24</f>
        <v>24</v>
      </c>
      <c r="H13" s="1">
        <v>24</v>
      </c>
      <c r="I13" s="1">
        <f t="shared" si="3"/>
        <v>0</v>
      </c>
      <c r="J13" s="1">
        <v>0</v>
      </c>
      <c r="K13" s="1">
        <v>0</v>
      </c>
    </row>
    <row r="14" spans="1:11" x14ac:dyDescent="0.25">
      <c r="A14" s="44" t="s">
        <v>77</v>
      </c>
      <c r="B14" s="1">
        <f t="shared" si="0"/>
        <v>76868</v>
      </c>
      <c r="C14" s="1">
        <f t="shared" si="1"/>
        <v>32</v>
      </c>
      <c r="D14" s="1">
        <f t="shared" si="2"/>
        <v>23</v>
      </c>
      <c r="E14" s="1">
        <f>(22+24+23)/3</f>
        <v>23</v>
      </c>
      <c r="F14" s="1">
        <f>(22+24+23)/3</f>
        <v>23</v>
      </c>
      <c r="G14" s="1">
        <f>(22+24+23)/3</f>
        <v>23</v>
      </c>
      <c r="H14" s="1">
        <v>9</v>
      </c>
      <c r="I14" s="1">
        <f t="shared" si="3"/>
        <v>76836</v>
      </c>
      <c r="J14" s="1">
        <v>76386</v>
      </c>
      <c r="K14" s="1">
        <v>450</v>
      </c>
    </row>
    <row r="15" spans="1:11" x14ac:dyDescent="0.25">
      <c r="A15" s="49" t="s">
        <v>139</v>
      </c>
      <c r="B15" s="1">
        <f t="shared" si="0"/>
        <v>76888</v>
      </c>
      <c r="C15" s="1">
        <f t="shared" si="1"/>
        <v>52</v>
      </c>
      <c r="D15" s="1">
        <f t="shared" si="2"/>
        <v>43</v>
      </c>
      <c r="E15" s="1">
        <f>18+16+9+0</f>
        <v>43</v>
      </c>
      <c r="F15" s="1">
        <f>18+16+9+0</f>
        <v>43</v>
      </c>
      <c r="G15" s="1">
        <f>18+16+9+0</f>
        <v>43</v>
      </c>
      <c r="H15" s="1">
        <v>9</v>
      </c>
      <c r="I15" s="1">
        <f t="shared" si="3"/>
        <v>76836</v>
      </c>
      <c r="J15" s="1">
        <v>76386</v>
      </c>
      <c r="K15" s="1">
        <v>450</v>
      </c>
    </row>
    <row r="16" spans="1:11" x14ac:dyDescent="0.25">
      <c r="A16" s="44" t="s">
        <v>16</v>
      </c>
      <c r="B16" s="1">
        <f t="shared" si="0"/>
        <v>679</v>
      </c>
      <c r="C16" s="1">
        <f t="shared" si="1"/>
        <v>192</v>
      </c>
      <c r="D16" s="1">
        <f t="shared" si="2"/>
        <v>96</v>
      </c>
      <c r="E16" s="1">
        <f>24*4</f>
        <v>96</v>
      </c>
      <c r="F16" s="1">
        <f>24*4</f>
        <v>96</v>
      </c>
      <c r="G16" s="1">
        <f>24*4</f>
        <v>96</v>
      </c>
      <c r="H16" s="1">
        <f>24*4</f>
        <v>96</v>
      </c>
      <c r="I16" s="1">
        <f t="shared" si="3"/>
        <v>487</v>
      </c>
      <c r="J16" s="1">
        <v>0</v>
      </c>
      <c r="K16" s="1">
        <v>487</v>
      </c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3" x14ac:dyDescent="0.25">
      <c r="A18" s="43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3" x14ac:dyDescent="0.25">
      <c r="A19" s="44" t="s">
        <v>75</v>
      </c>
      <c r="B19" s="1">
        <f>C19+I19</f>
        <v>1027021.1</v>
      </c>
      <c r="C19" s="1">
        <f>D19+H19</f>
        <v>1027021.1</v>
      </c>
      <c r="D19" s="1">
        <f>SUM(E19:G19)</f>
        <v>1027021.1</v>
      </c>
      <c r="E19" s="1">
        <f>239635.6+329498.9+149772.2</f>
        <v>718906.7</v>
      </c>
      <c r="F19" s="1">
        <f>102704.8+141219.1+64190.5</f>
        <v>308114.40000000002</v>
      </c>
      <c r="G19" s="1">
        <v>0</v>
      </c>
      <c r="H19" s="1">
        <v>0</v>
      </c>
      <c r="I19" s="1">
        <f t="shared" ref="I19:I22" si="4">SUM(J19:K19)</f>
        <v>0</v>
      </c>
      <c r="J19" s="1">
        <v>0</v>
      </c>
      <c r="K19" s="1">
        <v>0</v>
      </c>
    </row>
    <row r="20" spans="1:13" x14ac:dyDescent="0.25">
      <c r="A20" s="44" t="s">
        <v>76</v>
      </c>
      <c r="B20" s="1">
        <f>C20+I20</f>
        <v>15546973</v>
      </c>
      <c r="C20" s="1">
        <f>D20+H20</f>
        <v>15546973</v>
      </c>
      <c r="D20" s="1">
        <f>SUM(E20:G20)</f>
        <v>10849640</v>
      </c>
      <c r="E20" s="1">
        <v>4859640</v>
      </c>
      <c r="F20" s="1">
        <v>0</v>
      </c>
      <c r="G20" s="1">
        <v>5990000</v>
      </c>
      <c r="H20" s="1">
        <v>4697333</v>
      </c>
      <c r="I20" s="1">
        <f t="shared" si="4"/>
        <v>0</v>
      </c>
      <c r="J20" s="1">
        <v>0</v>
      </c>
      <c r="K20" s="1">
        <v>0</v>
      </c>
    </row>
    <row r="21" spans="1:13" x14ac:dyDescent="0.25">
      <c r="A21" s="44" t="s">
        <v>77</v>
      </c>
      <c r="B21" s="1">
        <f>C21+I21</f>
        <v>28661767.759999998</v>
      </c>
      <c r="C21" s="1">
        <f>D21+H21</f>
        <v>21429953.309999999</v>
      </c>
      <c r="D21" s="1">
        <f>SUM(E21:G21)</f>
        <v>21200383.309999999</v>
      </c>
      <c r="E21" s="1">
        <v>13084917.059999999</v>
      </c>
      <c r="F21" s="1">
        <v>215466.25</v>
      </c>
      <c r="G21" s="1">
        <v>7900000</v>
      </c>
      <c r="H21" s="1">
        <v>229570</v>
      </c>
      <c r="I21" s="1">
        <f>SUM(J21:K21)</f>
        <v>7231814.4500000002</v>
      </c>
      <c r="J21" s="1">
        <v>4579914.45</v>
      </c>
      <c r="K21" s="1">
        <v>2651900</v>
      </c>
      <c r="M21" s="1"/>
    </row>
    <row r="22" spans="1:13" x14ac:dyDescent="0.25">
      <c r="A22" s="44" t="s">
        <v>16</v>
      </c>
      <c r="B22" s="1">
        <f>C22+I22</f>
        <v>79377519</v>
      </c>
      <c r="C22" s="1">
        <f>D22+H22</f>
        <v>67389893</v>
      </c>
      <c r="D22" s="1">
        <f>SUM(E22:G22)</f>
        <v>50238560</v>
      </c>
      <c r="E22" s="1">
        <v>25135366</v>
      </c>
      <c r="F22" s="1">
        <v>4103194</v>
      </c>
      <c r="G22" s="1">
        <v>21000000</v>
      </c>
      <c r="H22" s="1">
        <v>17151333</v>
      </c>
      <c r="I22" s="1">
        <f t="shared" si="4"/>
        <v>11987626</v>
      </c>
      <c r="J22" s="1">
        <v>9017626</v>
      </c>
      <c r="K22" s="1">
        <v>2970000</v>
      </c>
    </row>
    <row r="23" spans="1:13" x14ac:dyDescent="0.25">
      <c r="A23" s="44" t="s">
        <v>78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3" x14ac:dyDescent="0.25">
      <c r="A25" s="43" t="s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3" x14ac:dyDescent="0.25">
      <c r="A26" s="44" t="s">
        <v>76</v>
      </c>
      <c r="B26" s="1">
        <f>B20</f>
        <v>15546973</v>
      </c>
      <c r="C26" s="1">
        <f>C20</f>
        <v>15546973</v>
      </c>
      <c r="D26" s="1"/>
      <c r="E26" s="1"/>
      <c r="F26" s="1"/>
      <c r="G26" s="1"/>
      <c r="H26" s="1"/>
      <c r="I26" s="1">
        <f>I20</f>
        <v>0</v>
      </c>
      <c r="J26" s="1"/>
      <c r="K26" s="1"/>
    </row>
    <row r="27" spans="1:13" x14ac:dyDescent="0.25">
      <c r="A27" s="44" t="s">
        <v>77</v>
      </c>
      <c r="B27" s="1">
        <f>+C27+I27</f>
        <v>9130523</v>
      </c>
      <c r="C27" s="1">
        <v>9130523</v>
      </c>
      <c r="D27" s="1"/>
      <c r="E27" s="1"/>
      <c r="F27" s="1"/>
      <c r="G27" s="1"/>
      <c r="H27" s="1"/>
      <c r="I27" s="1">
        <v>0</v>
      </c>
      <c r="J27" s="1"/>
      <c r="K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3" x14ac:dyDescent="0.25">
      <c r="A29" s="1" t="s">
        <v>20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3" x14ac:dyDescent="0.25">
      <c r="A30" s="44" t="s">
        <v>79</v>
      </c>
      <c r="B30" s="45">
        <v>1.4207666666666667</v>
      </c>
      <c r="C30" s="45">
        <v>1.4207666666666667</v>
      </c>
      <c r="D30" s="45">
        <v>1.4207666666666667</v>
      </c>
      <c r="E30" s="45">
        <v>1.4207666666666667</v>
      </c>
      <c r="F30" s="45">
        <v>1.4207666666666667</v>
      </c>
      <c r="G30" s="45">
        <v>1.4207666666666667</v>
      </c>
      <c r="H30" s="45">
        <v>1.4207666666666667</v>
      </c>
      <c r="I30" s="45">
        <v>1.4207666666666667</v>
      </c>
      <c r="J30" s="45">
        <v>1.4207666666666667</v>
      </c>
      <c r="K30" s="45">
        <v>1.4207666666666667</v>
      </c>
    </row>
    <row r="31" spans="1:13" x14ac:dyDescent="0.25">
      <c r="A31" s="44" t="s">
        <v>80</v>
      </c>
      <c r="B31" s="45">
        <v>1.4880666666666666</v>
      </c>
      <c r="C31" s="45">
        <v>1.4880666666666666</v>
      </c>
      <c r="D31" s="45">
        <v>1.4880666666666666</v>
      </c>
      <c r="E31" s="45">
        <v>1.4880666666666666</v>
      </c>
      <c r="F31" s="45">
        <v>1.4880666666666666</v>
      </c>
      <c r="G31" s="45">
        <v>1.4880666666666666</v>
      </c>
      <c r="H31" s="45">
        <v>1.4880666666666666</v>
      </c>
      <c r="I31" s="45">
        <v>1.4880666666666666</v>
      </c>
      <c r="J31" s="45">
        <v>1.4880666666666666</v>
      </c>
      <c r="K31" s="45">
        <v>1.4880666666666666</v>
      </c>
    </row>
    <row r="32" spans="1:13" x14ac:dyDescent="0.25">
      <c r="A32" s="44" t="s">
        <v>23</v>
      </c>
      <c r="B32" s="1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48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 t="s">
        <v>81</v>
      </c>
      <c r="B35" s="1">
        <f>B19/B30</f>
        <v>722864.01707998023</v>
      </c>
      <c r="C35" s="1">
        <f t="shared" ref="C35:K35" si="5">C19/C30</f>
        <v>722864.01707998023</v>
      </c>
      <c r="D35" s="1">
        <f>D19/D30</f>
        <v>722864.01707998023</v>
      </c>
      <c r="E35" s="1">
        <f t="shared" si="5"/>
        <v>505999.13192407851</v>
      </c>
      <c r="F35" s="1">
        <f t="shared" si="5"/>
        <v>216864.88515590175</v>
      </c>
      <c r="G35" s="1">
        <f t="shared" si="5"/>
        <v>0</v>
      </c>
      <c r="H35" s="1">
        <f t="shared" si="5"/>
        <v>0</v>
      </c>
      <c r="I35" s="1">
        <f t="shared" si="5"/>
        <v>0</v>
      </c>
      <c r="J35" s="1">
        <f t="shared" si="5"/>
        <v>0</v>
      </c>
      <c r="K35" s="1">
        <f t="shared" si="5"/>
        <v>0</v>
      </c>
    </row>
    <row r="36" spans="1:11" x14ac:dyDescent="0.25">
      <c r="A36" s="1" t="s">
        <v>82</v>
      </c>
      <c r="B36" s="1">
        <f t="shared" ref="B36:I36" si="6">B21/B31</f>
        <v>19261077.747412749</v>
      </c>
      <c r="C36" s="1">
        <f t="shared" si="6"/>
        <v>14401205.127458446</v>
      </c>
      <c r="D36" s="1">
        <f t="shared" si="6"/>
        <v>14246931.125397608</v>
      </c>
      <c r="E36" s="1">
        <f t="shared" si="6"/>
        <v>8793233.0943954121</v>
      </c>
      <c r="F36" s="1">
        <f t="shared" si="6"/>
        <v>144796.10008512164</v>
      </c>
      <c r="G36" s="1">
        <f>G21/G31</f>
        <v>5308901.930917074</v>
      </c>
      <c r="H36" s="1">
        <f t="shared" si="6"/>
        <v>154274.00206083956</v>
      </c>
      <c r="I36" s="1">
        <f t="shared" si="6"/>
        <v>4859872.6199543029</v>
      </c>
      <c r="J36" s="1">
        <f>J21/J31</f>
        <v>3077761.6034227861</v>
      </c>
      <c r="K36" s="1">
        <f>K21/K31</f>
        <v>1782111.0165315175</v>
      </c>
    </row>
    <row r="37" spans="1:11" x14ac:dyDescent="0.25">
      <c r="A37" s="1" t="s">
        <v>83</v>
      </c>
      <c r="B37" s="1">
        <f t="shared" ref="B37:K37" si="7">B35/B11</f>
        <v>32367.04554089464</v>
      </c>
      <c r="C37" s="1">
        <f t="shared" si="7"/>
        <v>32367.04554089464</v>
      </c>
      <c r="D37" s="1">
        <f t="shared" si="7"/>
        <v>32367.04554089464</v>
      </c>
      <c r="E37" s="1">
        <f t="shared" si="7"/>
        <v>22656.677548839336</v>
      </c>
      <c r="F37" s="1">
        <f t="shared" si="7"/>
        <v>9710.3679920553022</v>
      </c>
      <c r="G37" s="1">
        <f t="shared" si="7"/>
        <v>0</v>
      </c>
      <c r="H37" s="1" t="e">
        <f t="shared" si="7"/>
        <v>#DIV/0!</v>
      </c>
      <c r="I37" s="1" t="e">
        <f t="shared" si="7"/>
        <v>#DIV/0!</v>
      </c>
      <c r="J37" s="1" t="e">
        <f t="shared" si="7"/>
        <v>#DIV/0!</v>
      </c>
      <c r="K37" s="1" t="e">
        <f t="shared" si="7"/>
        <v>#DIV/0!</v>
      </c>
    </row>
    <row r="38" spans="1:11" x14ac:dyDescent="0.25">
      <c r="A38" s="1" t="s">
        <v>84</v>
      </c>
      <c r="B38" s="1">
        <f t="shared" ref="B38:K38" si="8">B36/B14</f>
        <v>250.57342128600652</v>
      </c>
      <c r="C38" s="1">
        <f t="shared" si="8"/>
        <v>450037.66023307643</v>
      </c>
      <c r="D38" s="1">
        <f t="shared" si="8"/>
        <v>619431.7880607656</v>
      </c>
      <c r="E38" s="1">
        <f t="shared" si="8"/>
        <v>382314.48236501793</v>
      </c>
      <c r="F38" s="1">
        <f t="shared" si="8"/>
        <v>6295.4826123965931</v>
      </c>
      <c r="G38" s="1">
        <f t="shared" si="8"/>
        <v>230821.82308335105</v>
      </c>
      <c r="H38" s="1">
        <f t="shared" si="8"/>
        <v>17141.55578453773</v>
      </c>
      <c r="I38" s="1">
        <f t="shared" si="8"/>
        <v>63.249942994876136</v>
      </c>
      <c r="J38" s="1">
        <f t="shared" si="8"/>
        <v>40.292221132442933</v>
      </c>
      <c r="K38" s="1">
        <f t="shared" si="8"/>
        <v>3960.2467034033721</v>
      </c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48" t="s">
        <v>29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 t="s">
        <v>31</v>
      </c>
      <c r="B43" s="1"/>
      <c r="C43" s="1" t="e">
        <f t="shared" ref="C43:K43" si="9">(C13/C32)*100</f>
        <v>#DIV/0!</v>
      </c>
      <c r="D43" s="1" t="e">
        <f t="shared" si="9"/>
        <v>#DIV/0!</v>
      </c>
      <c r="E43" s="1" t="e">
        <f t="shared" si="9"/>
        <v>#DIV/0!</v>
      </c>
      <c r="F43" s="1" t="e">
        <f t="shared" si="9"/>
        <v>#DIV/0!</v>
      </c>
      <c r="G43" s="1" t="e">
        <f t="shared" si="9"/>
        <v>#DIV/0!</v>
      </c>
      <c r="H43" s="1" t="e">
        <f t="shared" si="9"/>
        <v>#DIV/0!</v>
      </c>
      <c r="I43" s="1" t="e">
        <f t="shared" si="9"/>
        <v>#DIV/0!</v>
      </c>
      <c r="J43" s="1" t="e">
        <f t="shared" si="9"/>
        <v>#DIV/0!</v>
      </c>
      <c r="K43" s="1" t="e">
        <f t="shared" si="9"/>
        <v>#DIV/0!</v>
      </c>
    </row>
    <row r="44" spans="1:11" x14ac:dyDescent="0.25">
      <c r="A44" s="1" t="s">
        <v>32</v>
      </c>
      <c r="B44" s="1"/>
      <c r="C44" s="1" t="e">
        <f>(C15/C32)*100</f>
        <v>#DIV/0!</v>
      </c>
      <c r="D44" s="1" t="e">
        <f t="shared" ref="D44:K44" si="10">(D15/D32)*100</f>
        <v>#DIV/0!</v>
      </c>
      <c r="E44" s="1" t="e">
        <f t="shared" si="10"/>
        <v>#DIV/0!</v>
      </c>
      <c r="F44" s="1" t="e">
        <f t="shared" si="10"/>
        <v>#DIV/0!</v>
      </c>
      <c r="G44" s="1" t="e">
        <f t="shared" si="10"/>
        <v>#DIV/0!</v>
      </c>
      <c r="H44" s="1" t="e">
        <f t="shared" si="10"/>
        <v>#DIV/0!</v>
      </c>
      <c r="I44" s="1" t="e">
        <f t="shared" si="10"/>
        <v>#DIV/0!</v>
      </c>
      <c r="J44" s="1" t="e">
        <f t="shared" si="10"/>
        <v>#DIV/0!</v>
      </c>
      <c r="K44" s="1" t="e">
        <f t="shared" si="10"/>
        <v>#DIV/0!</v>
      </c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 t="s">
        <v>33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 t="s">
        <v>34</v>
      </c>
      <c r="B47" s="1">
        <f>B14/B13*100</f>
        <v>160141.66666666669</v>
      </c>
      <c r="C47" s="1">
        <f t="shared" ref="C47:K47" si="11">C14/C13*100</f>
        <v>66.666666666666657</v>
      </c>
      <c r="D47" s="1">
        <f t="shared" si="11"/>
        <v>95.833333333333343</v>
      </c>
      <c r="E47" s="1">
        <f t="shared" si="11"/>
        <v>95.833333333333343</v>
      </c>
      <c r="F47" s="1">
        <f t="shared" si="11"/>
        <v>95.833333333333343</v>
      </c>
      <c r="G47" s="1">
        <f t="shared" si="11"/>
        <v>95.833333333333343</v>
      </c>
      <c r="H47" s="1">
        <f t="shared" si="11"/>
        <v>37.5</v>
      </c>
      <c r="I47" s="1" t="e">
        <f t="shared" si="11"/>
        <v>#DIV/0!</v>
      </c>
      <c r="J47" s="1" t="e">
        <f t="shared" si="11"/>
        <v>#DIV/0!</v>
      </c>
      <c r="K47" s="1" t="e">
        <f t="shared" si="11"/>
        <v>#DIV/0!</v>
      </c>
    </row>
    <row r="48" spans="1:11" x14ac:dyDescent="0.25">
      <c r="A48" s="1" t="s">
        <v>35</v>
      </c>
      <c r="B48" s="1">
        <f>B21/B20*100</f>
        <v>184.35593706890722</v>
      </c>
      <c r="C48" s="1">
        <f t="shared" ref="C48:I48" si="12">C21/C20*100</f>
        <v>137.84003683546629</v>
      </c>
      <c r="D48" s="1">
        <f t="shared" si="12"/>
        <v>195.40172125526743</v>
      </c>
      <c r="E48" s="1">
        <f t="shared" si="12"/>
        <v>269.25692150035798</v>
      </c>
      <c r="F48" s="1" t="e">
        <f t="shared" si="12"/>
        <v>#DIV/0!</v>
      </c>
      <c r="G48" s="1">
        <f t="shared" si="12"/>
        <v>131.8864774624374</v>
      </c>
      <c r="H48" s="1">
        <f t="shared" si="12"/>
        <v>4.8872413346041252</v>
      </c>
      <c r="I48" s="1" t="e">
        <f t="shared" si="12"/>
        <v>#DIV/0!</v>
      </c>
      <c r="J48" s="1" t="e">
        <f>J21/J20*100</f>
        <v>#DIV/0!</v>
      </c>
      <c r="K48" s="1" t="e">
        <f>K21/K20*100</f>
        <v>#DIV/0!</v>
      </c>
    </row>
    <row r="49" spans="1:11" x14ac:dyDescent="0.25">
      <c r="A49" s="1" t="s">
        <v>36</v>
      </c>
      <c r="B49" s="1">
        <f t="shared" ref="B49:K49" si="13">AVERAGE(B47:B48)</f>
        <v>80163.011301867795</v>
      </c>
      <c r="C49" s="1">
        <f t="shared" si="13"/>
        <v>102.25335175106648</v>
      </c>
      <c r="D49" s="1">
        <f t="shared" si="13"/>
        <v>145.61752729430037</v>
      </c>
      <c r="E49" s="1">
        <f t="shared" si="13"/>
        <v>182.54512741684567</v>
      </c>
      <c r="F49" s="1" t="e">
        <f t="shared" si="13"/>
        <v>#DIV/0!</v>
      </c>
      <c r="G49" s="1">
        <f t="shared" si="13"/>
        <v>113.85990539788537</v>
      </c>
      <c r="H49" s="1">
        <f t="shared" si="13"/>
        <v>21.193620667302064</v>
      </c>
      <c r="I49" s="1" t="e">
        <f t="shared" si="13"/>
        <v>#DIV/0!</v>
      </c>
      <c r="J49" s="1" t="e">
        <f t="shared" si="13"/>
        <v>#DIV/0!</v>
      </c>
      <c r="K49" s="1" t="e">
        <f t="shared" si="13"/>
        <v>#DIV/0!</v>
      </c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 t="s">
        <v>37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 t="s">
        <v>38</v>
      </c>
      <c r="B52" s="1">
        <f>(B14/(B16*4))*100</f>
        <v>2830.1914580265093</v>
      </c>
      <c r="C52" s="1">
        <f t="shared" ref="C52:K52" si="14">(C14/(C16*4))*100</f>
        <v>4.1666666666666661</v>
      </c>
      <c r="D52" s="1">
        <f t="shared" si="14"/>
        <v>5.9895833333333339</v>
      </c>
      <c r="E52" s="1">
        <f t="shared" si="14"/>
        <v>5.9895833333333339</v>
      </c>
      <c r="F52" s="1">
        <f t="shared" si="14"/>
        <v>5.9895833333333339</v>
      </c>
      <c r="G52" s="1">
        <f t="shared" si="14"/>
        <v>5.9895833333333339</v>
      </c>
      <c r="H52" s="1">
        <f t="shared" si="14"/>
        <v>2.34375</v>
      </c>
      <c r="I52" s="1">
        <f t="shared" si="14"/>
        <v>3944.3531827515399</v>
      </c>
      <c r="J52" s="1" t="e">
        <f t="shared" si="14"/>
        <v>#DIV/0!</v>
      </c>
      <c r="K52" s="1">
        <f t="shared" si="14"/>
        <v>23.100616016427107</v>
      </c>
    </row>
    <row r="53" spans="1:11" x14ac:dyDescent="0.25">
      <c r="A53" s="1" t="s">
        <v>39</v>
      </c>
      <c r="B53" s="1">
        <f>B21/B22*100</f>
        <v>36.108167805043138</v>
      </c>
      <c r="C53" s="1">
        <f t="shared" ref="C53:I53" si="15">C21/C22*100</f>
        <v>31.799951529823616</v>
      </c>
      <c r="D53" s="1">
        <f t="shared" si="15"/>
        <v>42.199424724753257</v>
      </c>
      <c r="E53" s="1">
        <f t="shared" si="15"/>
        <v>52.057794026154212</v>
      </c>
      <c r="F53" s="1">
        <f t="shared" si="15"/>
        <v>5.2511835901495276</v>
      </c>
      <c r="G53" s="1">
        <f t="shared" si="15"/>
        <v>37.61904761904762</v>
      </c>
      <c r="H53" s="1">
        <f t="shared" si="15"/>
        <v>1.3384965471779948</v>
      </c>
      <c r="I53" s="1">
        <f t="shared" si="15"/>
        <v>60.327327946333995</v>
      </c>
      <c r="J53" s="1">
        <f>J21/J22*100</f>
        <v>50.788471932635048</v>
      </c>
      <c r="K53" s="1">
        <f>K21/K22*100</f>
        <v>89.289562289562284</v>
      </c>
    </row>
    <row r="54" spans="1:11" x14ac:dyDescent="0.25">
      <c r="A54" s="1" t="s">
        <v>40</v>
      </c>
      <c r="B54" s="1">
        <f t="shared" ref="B54:K54" si="16">(B52+B53)/2</f>
        <v>1433.1498129157762</v>
      </c>
      <c r="C54" s="1">
        <f t="shared" si="16"/>
        <v>17.98330909824514</v>
      </c>
      <c r="D54" s="1">
        <f t="shared" si="16"/>
        <v>24.094504029043296</v>
      </c>
      <c r="E54" s="1">
        <f t="shared" si="16"/>
        <v>29.023688679743774</v>
      </c>
      <c r="F54" s="1">
        <f t="shared" si="16"/>
        <v>5.6203834617414312</v>
      </c>
      <c r="G54" s="1">
        <f t="shared" si="16"/>
        <v>21.804315476190478</v>
      </c>
      <c r="H54" s="1">
        <f t="shared" si="16"/>
        <v>1.8411232735889973</v>
      </c>
      <c r="I54" s="1">
        <f t="shared" si="16"/>
        <v>2002.340255348937</v>
      </c>
      <c r="J54" s="1" t="e">
        <f t="shared" si="16"/>
        <v>#DIV/0!</v>
      </c>
      <c r="K54" s="1">
        <f t="shared" si="16"/>
        <v>56.195089152994697</v>
      </c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 t="s">
        <v>118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 t="s">
        <v>41</v>
      </c>
      <c r="B57" s="1">
        <f t="shared" ref="B57:I57" si="17">B23/B21*100</f>
        <v>0</v>
      </c>
      <c r="C57" s="1">
        <f t="shared" si="17"/>
        <v>0</v>
      </c>
      <c r="D57" s="1">
        <f t="shared" si="17"/>
        <v>0</v>
      </c>
      <c r="E57" s="1">
        <f>E23/E21*100</f>
        <v>0</v>
      </c>
      <c r="F57" s="1">
        <f>F23/F21*100</f>
        <v>0</v>
      </c>
      <c r="G57" s="1">
        <f t="shared" si="17"/>
        <v>0</v>
      </c>
      <c r="H57" s="1">
        <f>H23/H21*100</f>
        <v>0</v>
      </c>
      <c r="I57" s="1">
        <f t="shared" si="17"/>
        <v>0</v>
      </c>
      <c r="J57" s="1">
        <f>J23/J21*100</f>
        <v>0</v>
      </c>
      <c r="K57" s="1">
        <f>K23/K21*100</f>
        <v>0</v>
      </c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 t="s">
        <v>42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 t="s">
        <v>43</v>
      </c>
      <c r="B60" s="1">
        <f>((B14/B11)-1)*100</f>
        <v>344085.07462686568</v>
      </c>
      <c r="C60" s="1">
        <f t="shared" ref="C60:K60" si="18">((C14/C11)-1)*100</f>
        <v>43.283582089552255</v>
      </c>
      <c r="D60" s="1">
        <f t="shared" si="18"/>
        <v>2.9850746268656803</v>
      </c>
      <c r="E60" s="1">
        <f t="shared" si="18"/>
        <v>2.9850746268656803</v>
      </c>
      <c r="F60" s="1">
        <f t="shared" si="18"/>
        <v>2.9850746268656803</v>
      </c>
      <c r="G60" s="1">
        <f>((G14/G11)-1)*100</f>
        <v>2.9850746268656803</v>
      </c>
      <c r="H60" s="1" t="e">
        <f t="shared" si="18"/>
        <v>#DIV/0!</v>
      </c>
      <c r="I60" s="1" t="e">
        <f t="shared" si="18"/>
        <v>#DIV/0!</v>
      </c>
      <c r="J60" s="1" t="e">
        <f t="shared" si="18"/>
        <v>#DIV/0!</v>
      </c>
      <c r="K60" s="1" t="e">
        <f t="shared" si="18"/>
        <v>#DIV/0!</v>
      </c>
    </row>
    <row r="61" spans="1:11" x14ac:dyDescent="0.25">
      <c r="A61" s="1" t="s">
        <v>44</v>
      </c>
      <c r="B61" s="1">
        <f>((B36/B35)-1)*100</f>
        <v>2564.5506336334397</v>
      </c>
      <c r="C61" s="1">
        <f>((C36/C35)-1)*100</f>
        <v>1892.2426330795001</v>
      </c>
      <c r="D61" s="1">
        <f t="shared" ref="D61:K61" si="19">((D36/D35)-1)*100</f>
        <v>1870.9005827884885</v>
      </c>
      <c r="E61" s="1">
        <f t="shared" si="19"/>
        <v>1637.7960829614174</v>
      </c>
      <c r="F61" s="1">
        <f t="shared" si="19"/>
        <v>-33.232113635626469</v>
      </c>
      <c r="G61" s="1" t="e">
        <f t="shared" si="19"/>
        <v>#DIV/0!</v>
      </c>
      <c r="H61" s="1" t="e">
        <f t="shared" si="19"/>
        <v>#DIV/0!</v>
      </c>
      <c r="I61" s="1" t="e">
        <f t="shared" si="19"/>
        <v>#DIV/0!</v>
      </c>
      <c r="J61" s="1" t="e">
        <f t="shared" si="19"/>
        <v>#DIV/0!</v>
      </c>
      <c r="K61" s="1" t="e">
        <f t="shared" si="19"/>
        <v>#DIV/0!</v>
      </c>
    </row>
    <row r="62" spans="1:11" x14ac:dyDescent="0.25">
      <c r="A62" s="1" t="s">
        <v>45</v>
      </c>
      <c r="B62" s="1">
        <f t="shared" ref="B62:K62" si="20">((B38/B37)-1)*100</f>
        <v>-99.225837832589889</v>
      </c>
      <c r="C62" s="1">
        <f t="shared" si="20"/>
        <v>1290.4193376700678</v>
      </c>
      <c r="D62" s="1">
        <f t="shared" si="20"/>
        <v>1813.7730296641842</v>
      </c>
      <c r="E62" s="1">
        <f t="shared" si="20"/>
        <v>1587.4251820060142</v>
      </c>
      <c r="F62" s="1">
        <f t="shared" si="20"/>
        <v>-35.167414689666273</v>
      </c>
      <c r="G62" s="1" t="e">
        <f t="shared" si="20"/>
        <v>#DIV/0!</v>
      </c>
      <c r="H62" s="1" t="e">
        <f t="shared" si="20"/>
        <v>#DIV/0!</v>
      </c>
      <c r="I62" s="1" t="e">
        <f t="shared" si="20"/>
        <v>#DIV/0!</v>
      </c>
      <c r="J62" s="1" t="e">
        <f t="shared" si="20"/>
        <v>#DIV/0!</v>
      </c>
      <c r="K62" s="1" t="e">
        <f t="shared" si="20"/>
        <v>#DIV/0!</v>
      </c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 t="s">
        <v>46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 t="s">
        <v>128</v>
      </c>
      <c r="B65" s="1">
        <f t="shared" ref="B65:K65" si="21">B20/B13</f>
        <v>323895.27083333331</v>
      </c>
      <c r="C65" s="1">
        <f t="shared" si="21"/>
        <v>323895.27083333331</v>
      </c>
      <c r="D65" s="1">
        <f t="shared" si="21"/>
        <v>452068.33333333331</v>
      </c>
      <c r="E65" s="1">
        <f t="shared" si="21"/>
        <v>202485</v>
      </c>
      <c r="F65" s="1">
        <f t="shared" si="21"/>
        <v>0</v>
      </c>
      <c r="G65" s="1">
        <f t="shared" si="21"/>
        <v>249583.33333333334</v>
      </c>
      <c r="H65" s="1">
        <f t="shared" si="21"/>
        <v>195722.20833333334</v>
      </c>
      <c r="I65" s="1" t="e">
        <f t="shared" si="21"/>
        <v>#DIV/0!</v>
      </c>
      <c r="J65" s="1" t="e">
        <f t="shared" si="21"/>
        <v>#DIV/0!</v>
      </c>
      <c r="K65" s="1" t="e">
        <f t="shared" si="21"/>
        <v>#DIV/0!</v>
      </c>
    </row>
    <row r="66" spans="1:11" x14ac:dyDescent="0.25">
      <c r="A66" s="1" t="s">
        <v>129</v>
      </c>
      <c r="B66" s="1">
        <f t="shared" ref="B66:K66" si="22">B21/B14</f>
        <v>372.8699557683301</v>
      </c>
      <c r="C66" s="1">
        <f t="shared" si="22"/>
        <v>669686.04093749996</v>
      </c>
      <c r="D66" s="1">
        <f t="shared" si="22"/>
        <v>921755.79608695651</v>
      </c>
      <c r="E66" s="1">
        <f t="shared" si="22"/>
        <v>568909.43739130429</v>
      </c>
      <c r="F66" s="1">
        <f t="shared" si="22"/>
        <v>9368.097826086956</v>
      </c>
      <c r="G66" s="1">
        <f t="shared" si="22"/>
        <v>343478.26086956525</v>
      </c>
      <c r="H66" s="1">
        <f t="shared" si="22"/>
        <v>25507.777777777777</v>
      </c>
      <c r="I66" s="1">
        <f t="shared" si="22"/>
        <v>94.120131839242021</v>
      </c>
      <c r="J66" s="1">
        <f t="shared" si="22"/>
        <v>59.95751119315058</v>
      </c>
      <c r="K66" s="1">
        <f t="shared" si="22"/>
        <v>5893.1111111111113</v>
      </c>
    </row>
    <row r="67" spans="1:11" x14ac:dyDescent="0.25">
      <c r="A67" s="1" t="s">
        <v>47</v>
      </c>
      <c r="B67" s="1">
        <f>(B65/B66)*B49</f>
        <v>69633983.255454689</v>
      </c>
      <c r="C67" s="1">
        <f t="shared" ref="C67:K67" si="23">(C65/C66)*C49</f>
        <v>49.455080492141718</v>
      </c>
      <c r="D67" s="1">
        <f t="shared" si="23"/>
        <v>71.417042504656365</v>
      </c>
      <c r="E67" s="1">
        <f t="shared" si="23"/>
        <v>64.971061641180938</v>
      </c>
      <c r="F67" s="1" t="e">
        <f>(F65/F66)*F49</f>
        <v>#DIV/0!</v>
      </c>
      <c r="G67" s="1">
        <f t="shared" si="23"/>
        <v>82.734594760900137</v>
      </c>
      <c r="H67" s="1">
        <f t="shared" si="23"/>
        <v>162.61950671363857</v>
      </c>
      <c r="I67" s="1" t="e">
        <f t="shared" si="23"/>
        <v>#DIV/0!</v>
      </c>
      <c r="J67" s="1" t="e">
        <f t="shared" si="23"/>
        <v>#DIV/0!</v>
      </c>
      <c r="K67" s="1" t="e">
        <f t="shared" si="23"/>
        <v>#DIV/0!</v>
      </c>
    </row>
    <row r="68" spans="1:11" s="1" customFormat="1" x14ac:dyDescent="0.25">
      <c r="A68" s="1" t="s">
        <v>130</v>
      </c>
      <c r="B68" s="1">
        <f>B20/(B13*3)</f>
        <v>107965.09027777778</v>
      </c>
      <c r="C68" s="1">
        <f t="shared" ref="C68:K68" si="24">C20/(C13*3)</f>
        <v>107965.09027777778</v>
      </c>
      <c r="D68" s="1">
        <f t="shared" si="24"/>
        <v>150689.44444444444</v>
      </c>
      <c r="E68" s="1">
        <f t="shared" si="24"/>
        <v>67495</v>
      </c>
      <c r="F68" s="1">
        <f t="shared" si="24"/>
        <v>0</v>
      </c>
      <c r="G68" s="1">
        <f t="shared" si="24"/>
        <v>83194.444444444438</v>
      </c>
      <c r="H68" s="1">
        <f t="shared" si="24"/>
        <v>65240.736111111109</v>
      </c>
      <c r="I68" s="1" t="e">
        <f t="shared" si="24"/>
        <v>#DIV/0!</v>
      </c>
      <c r="J68" s="1" t="e">
        <f t="shared" si="24"/>
        <v>#DIV/0!</v>
      </c>
      <c r="K68" s="1" t="e">
        <f t="shared" si="24"/>
        <v>#DIV/0!</v>
      </c>
    </row>
    <row r="69" spans="1:11" s="1" customFormat="1" x14ac:dyDescent="0.25">
      <c r="A69" s="1" t="s">
        <v>131</v>
      </c>
      <c r="B69" s="1">
        <f>B21/(B14*3)</f>
        <v>124.28998525611003</v>
      </c>
      <c r="C69" s="1">
        <f t="shared" ref="C69:K69" si="25">C21/(C14*3)</f>
        <v>223228.68031249999</v>
      </c>
      <c r="D69" s="1">
        <f t="shared" si="25"/>
        <v>307251.93202898547</v>
      </c>
      <c r="E69" s="1">
        <f t="shared" si="25"/>
        <v>189636.47913043477</v>
      </c>
      <c r="F69" s="1">
        <f t="shared" si="25"/>
        <v>3122.699275362319</v>
      </c>
      <c r="G69" s="1">
        <f t="shared" si="25"/>
        <v>114492.7536231884</v>
      </c>
      <c r="H69" s="1">
        <f t="shared" si="25"/>
        <v>8502.5925925925931</v>
      </c>
      <c r="I69" s="1">
        <f t="shared" si="25"/>
        <v>31.373377279747341</v>
      </c>
      <c r="J69" s="1">
        <f t="shared" si="25"/>
        <v>19.985837064383528</v>
      </c>
      <c r="K69" s="1">
        <f t="shared" si="25"/>
        <v>1964.3703703703704</v>
      </c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 t="s">
        <v>48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 t="s">
        <v>49</v>
      </c>
      <c r="B72" s="1">
        <f>(B27/B26)*100</f>
        <v>58.728621963902548</v>
      </c>
      <c r="C72" s="1">
        <f>(C27/C26)*100</f>
        <v>58.728621963902548</v>
      </c>
      <c r="D72" s="1"/>
      <c r="E72" s="1"/>
      <c r="F72" s="1"/>
      <c r="G72" s="1"/>
      <c r="H72" s="1"/>
      <c r="I72" s="1" t="e">
        <f>(I27/I26)*100</f>
        <v>#DIV/0!</v>
      </c>
      <c r="J72" s="1"/>
      <c r="K72" s="1"/>
    </row>
    <row r="73" spans="1:11" x14ac:dyDescent="0.25">
      <c r="A73" s="1" t="s">
        <v>50</v>
      </c>
      <c r="B73" s="1">
        <f>(B21/B27)*100</f>
        <v>313.91156629253328</v>
      </c>
      <c r="C73" s="1">
        <f>(C21/C27)*100</f>
        <v>234.70674472864258</v>
      </c>
      <c r="D73" s="1"/>
      <c r="E73" s="1"/>
      <c r="F73" s="1"/>
      <c r="G73" s="1"/>
      <c r="H73" s="1"/>
      <c r="I73" s="1" t="e">
        <f>(I21/I27)*100</f>
        <v>#DIV/0!</v>
      </c>
      <c r="J73" s="1"/>
      <c r="K73" s="1"/>
    </row>
    <row r="74" spans="1:11" ht="15.75" thickBot="1" x14ac:dyDescent="0.3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1:11" ht="15.75" thickTop="1" x14ac:dyDescent="0.25">
      <c r="A75" s="16" t="s">
        <v>119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6" t="s">
        <v>120</v>
      </c>
    </row>
    <row r="77" spans="1:11" x14ac:dyDescent="0.25">
      <c r="A77" s="16" t="s">
        <v>121</v>
      </c>
    </row>
    <row r="78" spans="1:11" x14ac:dyDescent="0.25">
      <c r="A78" s="16" t="s">
        <v>122</v>
      </c>
    </row>
    <row r="79" spans="1:11" x14ac:dyDescent="0.25">
      <c r="A79" s="16" t="s">
        <v>123</v>
      </c>
    </row>
    <row r="80" spans="1:11" x14ac:dyDescent="0.25">
      <c r="A80" s="16" t="s">
        <v>126</v>
      </c>
    </row>
    <row r="82" spans="1:1" x14ac:dyDescent="0.25">
      <c r="A82" s="2" t="s">
        <v>124</v>
      </c>
    </row>
    <row r="83" spans="1:1" x14ac:dyDescent="0.25">
      <c r="A83" s="2" t="s">
        <v>125</v>
      </c>
    </row>
    <row r="84" spans="1:1" x14ac:dyDescent="0.25">
      <c r="A84" s="2" t="s">
        <v>127</v>
      </c>
    </row>
    <row r="85" spans="1:1" x14ac:dyDescent="0.25">
      <c r="A85" s="2" t="s">
        <v>141</v>
      </c>
    </row>
    <row r="86" spans="1:1" x14ac:dyDescent="0.25">
      <c r="A86" s="2" t="s">
        <v>142</v>
      </c>
    </row>
    <row r="87" spans="1:1" x14ac:dyDescent="0.25">
      <c r="A87" s="2" t="s">
        <v>143</v>
      </c>
    </row>
    <row r="88" spans="1:1" x14ac:dyDescent="0.25">
      <c r="A88" s="17" t="s">
        <v>144</v>
      </c>
    </row>
  </sheetData>
  <mergeCells count="11">
    <mergeCell ref="A2:K2"/>
    <mergeCell ref="A4:A6"/>
    <mergeCell ref="B4:B6"/>
    <mergeCell ref="C4:H4"/>
    <mergeCell ref="I4:K4"/>
    <mergeCell ref="C5:C6"/>
    <mergeCell ref="D5:G5"/>
    <mergeCell ref="H5:H6"/>
    <mergeCell ref="I5:I6"/>
    <mergeCell ref="J5:J6"/>
    <mergeCell ref="K5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8"/>
  <sheetViews>
    <sheetView topLeftCell="A67" zoomScale="90" zoomScaleNormal="90" workbookViewId="0">
      <selection activeCell="A23" sqref="A23:L75"/>
    </sheetView>
  </sheetViews>
  <sheetFormatPr baseColWidth="10" defaultColWidth="11.42578125" defaultRowHeight="15" x14ac:dyDescent="0.25"/>
  <cols>
    <col min="1" max="1" width="50.85546875" style="2" customWidth="1"/>
    <col min="2" max="2" width="15.5703125" style="2" bestFit="1" customWidth="1"/>
    <col min="3" max="10" width="13.7109375" style="2" customWidth="1"/>
    <col min="11" max="11" width="14" style="2" customWidth="1"/>
    <col min="12" max="16384" width="11.42578125" style="2"/>
  </cols>
  <sheetData>
    <row r="2" spans="1:11" ht="15.75" x14ac:dyDescent="0.25">
      <c r="A2" s="24" t="s">
        <v>107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 x14ac:dyDescent="0.25">
      <c r="A4" s="25" t="s">
        <v>0</v>
      </c>
      <c r="B4" s="28" t="s">
        <v>1</v>
      </c>
      <c r="C4" s="31" t="s">
        <v>2</v>
      </c>
      <c r="D4" s="32"/>
      <c r="E4" s="32"/>
      <c r="F4" s="32"/>
      <c r="G4" s="32"/>
      <c r="H4" s="33"/>
      <c r="I4" s="31" t="s">
        <v>3</v>
      </c>
      <c r="J4" s="32"/>
      <c r="K4" s="33"/>
    </row>
    <row r="5" spans="1:11" ht="15" customHeight="1" x14ac:dyDescent="0.25">
      <c r="A5" s="26"/>
      <c r="B5" s="29"/>
      <c r="C5" s="34" t="s">
        <v>4</v>
      </c>
      <c r="D5" s="31" t="s">
        <v>5</v>
      </c>
      <c r="E5" s="32"/>
      <c r="F5" s="32"/>
      <c r="G5" s="33"/>
      <c r="H5" s="42" t="s">
        <v>6</v>
      </c>
      <c r="I5" s="36" t="s">
        <v>4</v>
      </c>
      <c r="J5" s="38" t="s">
        <v>7</v>
      </c>
      <c r="K5" s="40" t="s">
        <v>8</v>
      </c>
    </row>
    <row r="6" spans="1:11" ht="45.75" thickBot="1" x14ac:dyDescent="0.3">
      <c r="A6" s="27"/>
      <c r="B6" s="30"/>
      <c r="C6" s="35"/>
      <c r="D6" s="6" t="s">
        <v>4</v>
      </c>
      <c r="E6" s="7" t="s">
        <v>9</v>
      </c>
      <c r="F6" s="8" t="s">
        <v>10</v>
      </c>
      <c r="G6" s="9" t="s">
        <v>11</v>
      </c>
      <c r="H6" s="39"/>
      <c r="I6" s="37"/>
      <c r="J6" s="39"/>
      <c r="K6" s="41"/>
    </row>
    <row r="7" spans="1:11" ht="15.75" thickTop="1" x14ac:dyDescent="0.25"/>
    <row r="8" spans="1:11" x14ac:dyDescent="0.25">
      <c r="A8" s="10" t="s">
        <v>12</v>
      </c>
    </row>
    <row r="10" spans="1:11" x14ac:dyDescent="0.25">
      <c r="A10" s="2" t="s">
        <v>140</v>
      </c>
    </row>
    <row r="11" spans="1:11" x14ac:dyDescent="0.25">
      <c r="A11" s="11" t="s">
        <v>108</v>
      </c>
      <c r="B11" s="1">
        <f>C11+I11</f>
        <v>30</v>
      </c>
      <c r="C11" s="1">
        <f>D11+H11</f>
        <v>30</v>
      </c>
      <c r="D11" s="1">
        <f>E11</f>
        <v>30</v>
      </c>
      <c r="E11" s="1">
        <f>'I Trimestre'!E11+'II Trimestre'!E11</f>
        <v>30</v>
      </c>
      <c r="F11" s="1">
        <f>'I Trimestre'!F11+'II Trimestre'!F11</f>
        <v>30</v>
      </c>
      <c r="G11" s="1">
        <f>'I Trimestre'!G11+'II Trimestre'!G11</f>
        <v>30</v>
      </c>
      <c r="H11" s="1">
        <f>'I Trimestre'!H11+'II Trimestre'!H11</f>
        <v>0</v>
      </c>
      <c r="I11" s="1">
        <f>SUM(J11:K11)</f>
        <v>0</v>
      </c>
      <c r="J11" s="1">
        <f>'I Trimestre'!J11+'II Trimestre'!J11</f>
        <v>0</v>
      </c>
      <c r="K11" s="1">
        <f>'I Trimestre'!K11+'II Trimestre'!K11</f>
        <v>0</v>
      </c>
    </row>
    <row r="12" spans="1:11" x14ac:dyDescent="0.25">
      <c r="A12" s="12" t="s">
        <v>139</v>
      </c>
      <c r="B12" s="1">
        <f t="shared" ref="B12:B16" si="0">C12+I12</f>
        <v>57</v>
      </c>
      <c r="C12" s="1">
        <f t="shared" ref="C12:C16" si="1">D12+H12</f>
        <v>57</v>
      </c>
      <c r="D12" s="1">
        <f t="shared" ref="D12:D16" si="2">E12</f>
        <v>57</v>
      </c>
      <c r="E12" s="1">
        <f>18+9+9+7+5+9</f>
        <v>57</v>
      </c>
      <c r="F12" s="1">
        <f>18+9+9+7+5+9</f>
        <v>57</v>
      </c>
      <c r="G12" s="1">
        <f>18+9+9+7+5+9</f>
        <v>57</v>
      </c>
      <c r="H12" s="1">
        <v>0</v>
      </c>
      <c r="I12" s="1">
        <f t="shared" ref="I12:I16" si="3">SUM(J12:K12)</f>
        <v>0</v>
      </c>
      <c r="J12" s="1">
        <v>0</v>
      </c>
      <c r="K12" s="1">
        <v>0</v>
      </c>
    </row>
    <row r="13" spans="1:11" x14ac:dyDescent="0.25">
      <c r="A13" s="11" t="s">
        <v>109</v>
      </c>
      <c r="B13" s="1">
        <f t="shared" si="0"/>
        <v>172</v>
      </c>
      <c r="C13" s="1">
        <f t="shared" si="1"/>
        <v>72</v>
      </c>
      <c r="D13" s="1">
        <f t="shared" si="2"/>
        <v>48</v>
      </c>
      <c r="E13" s="2">
        <f>'I Trimestre'!E13+'II Trimestre'!E13</f>
        <v>48</v>
      </c>
      <c r="F13" s="2">
        <f>'I Trimestre'!F13+'II Trimestre'!F13</f>
        <v>48</v>
      </c>
      <c r="G13" s="2">
        <f>'I Trimestre'!G13+'II Trimestre'!G13</f>
        <v>48</v>
      </c>
      <c r="H13" s="2">
        <f>AVERAGE('I Trimestre'!H13,+'II Trimestre'!H13)</f>
        <v>24</v>
      </c>
      <c r="I13" s="1">
        <f t="shared" si="3"/>
        <v>100</v>
      </c>
      <c r="J13" s="2">
        <f>'I Trimestre'!J13+'II Trimestre'!J13</f>
        <v>0</v>
      </c>
      <c r="K13" s="2">
        <f>'I Trimestre'!K13+'II Trimestre'!K13</f>
        <v>100</v>
      </c>
    </row>
    <row r="14" spans="1:11" x14ac:dyDescent="0.25">
      <c r="A14" s="11" t="s">
        <v>110</v>
      </c>
      <c r="B14" s="1">
        <f t="shared" si="0"/>
        <v>44128</v>
      </c>
      <c r="C14" s="1">
        <f t="shared" si="1"/>
        <v>40</v>
      </c>
      <c r="D14" s="1">
        <f t="shared" si="2"/>
        <v>40</v>
      </c>
      <c r="E14" s="2">
        <f>'I Trimestre'!E14+'II Trimestre'!E14</f>
        <v>40</v>
      </c>
      <c r="F14" s="2">
        <f>'I Trimestre'!F14+'II Trimestre'!F14</f>
        <v>40</v>
      </c>
      <c r="G14" s="2">
        <f>'I Trimestre'!G14+'II Trimestre'!G14</f>
        <v>40</v>
      </c>
      <c r="H14" s="2">
        <f>'I Trimestre'!H14+'II Trimestre'!H14</f>
        <v>0</v>
      </c>
      <c r="I14" s="1">
        <f t="shared" si="3"/>
        <v>44088</v>
      </c>
      <c r="J14" s="1">
        <f>'I Trimestre'!J14+'II Trimestre'!J14</f>
        <v>44088</v>
      </c>
      <c r="K14" s="1">
        <f>'I Trimestre'!K14+'II Trimestre'!K14</f>
        <v>0</v>
      </c>
    </row>
    <row r="15" spans="1:11" x14ac:dyDescent="0.25">
      <c r="A15" s="12" t="s">
        <v>139</v>
      </c>
      <c r="B15" s="1">
        <f t="shared" si="0"/>
        <v>44189</v>
      </c>
      <c r="C15" s="1">
        <f t="shared" si="1"/>
        <v>101</v>
      </c>
      <c r="D15" s="1">
        <f t="shared" si="2"/>
        <v>101</v>
      </c>
      <c r="E15" s="2">
        <f>25+10+17+16+16+17</f>
        <v>101</v>
      </c>
      <c r="F15" s="2">
        <f>25+10+17+16+16+17</f>
        <v>101</v>
      </c>
      <c r="G15" s="2">
        <f>25+10+17+16+16+17</f>
        <v>101</v>
      </c>
      <c r="H15" s="2">
        <v>0</v>
      </c>
      <c r="I15" s="1">
        <f t="shared" si="3"/>
        <v>44088</v>
      </c>
      <c r="J15" s="1">
        <f>'I Trimestre'!J15+'II Trimestre'!J15</f>
        <v>44088</v>
      </c>
      <c r="K15" s="1">
        <f>'I Trimestre'!K15+'II Trimestre'!K15</f>
        <v>0</v>
      </c>
    </row>
    <row r="16" spans="1:11" x14ac:dyDescent="0.25">
      <c r="A16" s="11" t="s">
        <v>16</v>
      </c>
      <c r="B16" s="1">
        <f t="shared" si="0"/>
        <v>192</v>
      </c>
      <c r="C16" s="1">
        <f t="shared" si="1"/>
        <v>192</v>
      </c>
      <c r="D16" s="1">
        <f t="shared" si="2"/>
        <v>96</v>
      </c>
      <c r="E16" s="2">
        <f>24*4</f>
        <v>96</v>
      </c>
      <c r="F16" s="2">
        <f>24*4</f>
        <v>96</v>
      </c>
      <c r="G16" s="2">
        <f>24*4</f>
        <v>96</v>
      </c>
      <c r="H16" s="2">
        <f>24*4</f>
        <v>96</v>
      </c>
      <c r="I16" s="1">
        <f t="shared" si="3"/>
        <v>0</v>
      </c>
      <c r="J16" s="2">
        <v>0</v>
      </c>
      <c r="K16" s="2">
        <v>0</v>
      </c>
    </row>
    <row r="17" spans="1:13" x14ac:dyDescent="0.25">
      <c r="I17" s="1"/>
    </row>
    <row r="18" spans="1:13" x14ac:dyDescent="0.25">
      <c r="A18" s="13" t="s">
        <v>17</v>
      </c>
      <c r="I18" s="1"/>
    </row>
    <row r="19" spans="1:13" x14ac:dyDescent="0.25">
      <c r="A19" s="11" t="s">
        <v>108</v>
      </c>
      <c r="B19" s="1">
        <f>C19+I19</f>
        <v>2439175.1</v>
      </c>
      <c r="C19" s="1">
        <f>D19+H19</f>
        <v>2439175.1</v>
      </c>
      <c r="D19" s="1">
        <f>SUM(E19:G19)</f>
        <v>2439175.1</v>
      </c>
      <c r="E19" s="1">
        <f>'I Trimestre'!E19+'II Trimestre'!E19</f>
        <v>1707403.4000000001</v>
      </c>
      <c r="F19" s="1">
        <f>'I Trimestre'!F19+'II Trimestre'!F19</f>
        <v>731771.7</v>
      </c>
      <c r="G19" s="1">
        <f>'I Trimestre'!G19+'II Trimestre'!G19</f>
        <v>0</v>
      </c>
      <c r="H19" s="1">
        <f>'I Trimestre'!H19+'II Trimestre'!H19</f>
        <v>0</v>
      </c>
      <c r="I19" s="1">
        <f>SUM(J19:K19)</f>
        <v>0</v>
      </c>
      <c r="J19" s="1">
        <f>'I Trimestre'!J19+'II Trimestre'!J19</f>
        <v>0</v>
      </c>
      <c r="K19" s="1">
        <f>'I Trimestre'!K19+'II Trimestre'!K19</f>
        <v>0</v>
      </c>
    </row>
    <row r="20" spans="1:13" x14ac:dyDescent="0.25">
      <c r="A20" s="11" t="s">
        <v>109</v>
      </c>
      <c r="B20" s="2">
        <f>C20+I20</f>
        <v>64173765.990000002</v>
      </c>
      <c r="C20" s="2">
        <f>D20+H20</f>
        <v>54586139.990000002</v>
      </c>
      <c r="D20" s="2">
        <f>SUM(E20:G20)</f>
        <v>44857140</v>
      </c>
      <c r="E20" s="2">
        <f>'I Trimestre'!E20+'II Trimestre'!E20</f>
        <v>23484640</v>
      </c>
      <c r="F20" s="2">
        <f>'I Trimestre'!F20+'II Trimestre'!F20</f>
        <v>11625000</v>
      </c>
      <c r="G20" s="2">
        <f>'I Trimestre'!G20+'II Trimestre'!G20</f>
        <v>9747500</v>
      </c>
      <c r="H20" s="2">
        <f>'I Trimestre'!H20+'II Trimestre'!H20</f>
        <v>9728999.9900000002</v>
      </c>
      <c r="I20" s="1">
        <f t="shared" ref="I20:I22" si="4">SUM(J20:K20)</f>
        <v>9587626</v>
      </c>
      <c r="J20" s="2">
        <f>'I Trimestre'!J20+'II Trimestre'!J20</f>
        <v>9017626</v>
      </c>
      <c r="K20" s="2">
        <f>'I Trimestre'!K20+'II Trimestre'!K20</f>
        <v>570000</v>
      </c>
    </row>
    <row r="21" spans="1:13" x14ac:dyDescent="0.25">
      <c r="A21" s="11" t="s">
        <v>110</v>
      </c>
      <c r="B21" s="2">
        <f>C21+I21</f>
        <v>16734423.25</v>
      </c>
      <c r="C21" s="2">
        <f>D21+H21</f>
        <v>11081697.5</v>
      </c>
      <c r="D21" s="2">
        <f>SUM(E21:G21)</f>
        <v>11081697.5</v>
      </c>
      <c r="E21" s="1">
        <f>'I Trimestre'!E21+'II Trimestre'!E21</f>
        <v>5206697.5</v>
      </c>
      <c r="F21" s="1">
        <f>'I Trimestre'!F21+'II Trimestre'!F21</f>
        <v>0</v>
      </c>
      <c r="G21" s="1">
        <f>'I Trimestre'!G21+'II Trimestre'!G21</f>
        <v>5875000</v>
      </c>
      <c r="H21" s="1">
        <f>'I Trimestre'!H21+'II Trimestre'!H21</f>
        <v>0</v>
      </c>
      <c r="I21" s="1">
        <f>SUM(J21:K21)</f>
        <v>5652725.75</v>
      </c>
      <c r="J21" s="1">
        <f>'I Trimestre'!J21+'II Trimestre'!J21</f>
        <v>5652725.75</v>
      </c>
      <c r="K21" s="1">
        <f>'I Trimestre'!K21+'II Trimestre'!K21</f>
        <v>0</v>
      </c>
      <c r="M21" s="1"/>
    </row>
    <row r="22" spans="1:13" x14ac:dyDescent="0.25">
      <c r="A22" s="11" t="s">
        <v>16</v>
      </c>
      <c r="B22" s="2">
        <f>C22+I22</f>
        <v>91416286</v>
      </c>
      <c r="C22" s="2">
        <f>D22+H22</f>
        <v>79428660</v>
      </c>
      <c r="D22" s="2">
        <f>SUM(E22:G22)</f>
        <v>61428660</v>
      </c>
      <c r="E22" s="2">
        <f>'II Trimestre'!E22</f>
        <v>27128660</v>
      </c>
      <c r="F22" s="2">
        <f>'II Trimestre'!F22</f>
        <v>9300000</v>
      </c>
      <c r="G22" s="2">
        <f>'II Trimestre'!G22</f>
        <v>25000000</v>
      </c>
      <c r="H22" s="2">
        <f>'II Trimestre'!H22</f>
        <v>18000000</v>
      </c>
      <c r="I22" s="1">
        <f t="shared" si="4"/>
        <v>11987626</v>
      </c>
      <c r="J22" s="2">
        <f>'II Trimestre'!J22</f>
        <v>9017626</v>
      </c>
      <c r="K22" s="2">
        <f>'II Trimestre'!K22</f>
        <v>2970000</v>
      </c>
    </row>
    <row r="23" spans="1:13" x14ac:dyDescent="0.25">
      <c r="A23" s="44" t="s">
        <v>111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3" x14ac:dyDescent="0.25">
      <c r="A25" s="43" t="s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3" x14ac:dyDescent="0.25">
      <c r="A26" s="44" t="s">
        <v>109</v>
      </c>
      <c r="B26" s="1">
        <f>B20</f>
        <v>64173765.990000002</v>
      </c>
      <c r="C26" s="1">
        <f>C20</f>
        <v>54586139.990000002</v>
      </c>
      <c r="D26" s="1"/>
      <c r="E26" s="1"/>
      <c r="F26" s="1"/>
      <c r="G26" s="1"/>
      <c r="H26" s="1"/>
      <c r="I26" s="1">
        <f>I20</f>
        <v>9587626</v>
      </c>
      <c r="J26" s="1"/>
      <c r="K26" s="1"/>
      <c r="L26" s="1"/>
    </row>
    <row r="27" spans="1:13" x14ac:dyDescent="0.25">
      <c r="A27" s="44" t="s">
        <v>110</v>
      </c>
      <c r="B27" s="1">
        <f>+'I Trimestre'!B27+'II Trimestre'!B27</f>
        <v>11225713</v>
      </c>
      <c r="C27" s="1">
        <f>+'I Trimestre'!C27+'II Trimestre'!C27</f>
        <v>11225713</v>
      </c>
      <c r="D27" s="1"/>
      <c r="E27" s="1"/>
      <c r="F27" s="1"/>
      <c r="G27" s="1"/>
      <c r="H27" s="1"/>
      <c r="I27" s="1">
        <f>+'I Trimestre'!I27+'II Trimestre'!I27</f>
        <v>0</v>
      </c>
      <c r="J27" s="1"/>
      <c r="K27" s="1"/>
      <c r="L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3" x14ac:dyDescent="0.25">
      <c r="A29" s="1" t="s">
        <v>20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3" x14ac:dyDescent="0.25">
      <c r="A30" s="44" t="s">
        <v>112</v>
      </c>
      <c r="B30" s="45">
        <v>1.3875666666666668</v>
      </c>
      <c r="C30" s="45">
        <v>1.3875666666666668</v>
      </c>
      <c r="D30" s="45">
        <v>1.3875666666666668</v>
      </c>
      <c r="E30" s="45">
        <v>1.3875666666666668</v>
      </c>
      <c r="F30" s="45">
        <v>1.3875666666666668</v>
      </c>
      <c r="G30" s="45">
        <v>1.3875666666666668</v>
      </c>
      <c r="H30" s="45">
        <v>1.3875666666666668</v>
      </c>
      <c r="I30" s="45">
        <v>1.3875666666666668</v>
      </c>
      <c r="J30" s="45">
        <v>1.3875666666666668</v>
      </c>
      <c r="K30" s="45">
        <v>1.3875666666666668</v>
      </c>
      <c r="L30" s="1"/>
    </row>
    <row r="31" spans="1:13" x14ac:dyDescent="0.25">
      <c r="A31" s="44" t="s">
        <v>113</v>
      </c>
      <c r="B31" s="45">
        <v>1.4539500000000001</v>
      </c>
      <c r="C31" s="45">
        <v>1.4539500000000001</v>
      </c>
      <c r="D31" s="45">
        <v>1.4539500000000001</v>
      </c>
      <c r="E31" s="45">
        <v>1.4539500000000001</v>
      </c>
      <c r="F31" s="45">
        <v>1.4539500000000001</v>
      </c>
      <c r="G31" s="45">
        <v>1.4539500000000001</v>
      </c>
      <c r="H31" s="45">
        <v>1.4539500000000001</v>
      </c>
      <c r="I31" s="45">
        <v>1.4539500000000001</v>
      </c>
      <c r="J31" s="45">
        <v>1.4539500000000001</v>
      </c>
      <c r="K31" s="45">
        <v>1.4539500000000001</v>
      </c>
      <c r="L31" s="1"/>
    </row>
    <row r="32" spans="1:13" x14ac:dyDescent="0.25">
      <c r="A32" s="44" t="s">
        <v>23</v>
      </c>
      <c r="B32" s="1"/>
      <c r="C32" s="47"/>
      <c r="D32" s="47"/>
      <c r="E32" s="47"/>
      <c r="F32" s="47"/>
      <c r="G32" s="47"/>
      <c r="H32" s="47"/>
      <c r="I32" s="47"/>
      <c r="J32" s="47"/>
      <c r="K32" s="47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48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114</v>
      </c>
      <c r="B35" s="1">
        <f>B19/B30</f>
        <v>1757879.5733538326</v>
      </c>
      <c r="C35" s="1">
        <f t="shared" ref="C35:K35" si="5">C19/C30</f>
        <v>1757879.5733538326</v>
      </c>
      <c r="D35" s="1">
        <f>D19/D30</f>
        <v>1757879.5733538326</v>
      </c>
      <c r="E35" s="1">
        <f t="shared" si="5"/>
        <v>1230501.8857952771</v>
      </c>
      <c r="F35" s="1">
        <f t="shared" si="5"/>
        <v>527377.68755855563</v>
      </c>
      <c r="G35" s="1">
        <f t="shared" si="5"/>
        <v>0</v>
      </c>
      <c r="H35" s="1">
        <f t="shared" si="5"/>
        <v>0</v>
      </c>
      <c r="I35" s="1">
        <f t="shared" si="5"/>
        <v>0</v>
      </c>
      <c r="J35" s="1">
        <f t="shared" si="5"/>
        <v>0</v>
      </c>
      <c r="K35" s="1">
        <f t="shared" si="5"/>
        <v>0</v>
      </c>
      <c r="L35" s="1"/>
    </row>
    <row r="36" spans="1:12" x14ac:dyDescent="0.25">
      <c r="A36" s="1" t="s">
        <v>115</v>
      </c>
      <c r="B36" s="1">
        <f t="shared" ref="B36:I36" si="6">B21/B31</f>
        <v>11509627.738230338</v>
      </c>
      <c r="C36" s="1">
        <f t="shared" si="6"/>
        <v>7621787.200385157</v>
      </c>
      <c r="D36" s="1">
        <f t="shared" si="6"/>
        <v>7621787.200385157</v>
      </c>
      <c r="E36" s="1">
        <f t="shared" si="6"/>
        <v>3581070.5319990371</v>
      </c>
      <c r="F36" s="1">
        <f t="shared" si="6"/>
        <v>0</v>
      </c>
      <c r="G36" s="1">
        <f>G21/G31</f>
        <v>4040716.6683861203</v>
      </c>
      <c r="H36" s="1">
        <f t="shared" si="6"/>
        <v>0</v>
      </c>
      <c r="I36" s="1">
        <f t="shared" si="6"/>
        <v>3887840.5378451804</v>
      </c>
      <c r="J36" s="1">
        <f>J21/J31</f>
        <v>3887840.5378451804</v>
      </c>
      <c r="K36" s="1">
        <f>K21/K31</f>
        <v>0</v>
      </c>
      <c r="L36" s="1"/>
    </row>
    <row r="37" spans="1:12" x14ac:dyDescent="0.25">
      <c r="A37" s="1" t="s">
        <v>116</v>
      </c>
      <c r="B37" s="1">
        <f t="shared" ref="B37:K37" si="7">B35/B11</f>
        <v>58595.985778461087</v>
      </c>
      <c r="C37" s="1">
        <f t="shared" si="7"/>
        <v>58595.985778461087</v>
      </c>
      <c r="D37" s="1">
        <f t="shared" si="7"/>
        <v>58595.985778461087</v>
      </c>
      <c r="E37" s="1">
        <f t="shared" si="7"/>
        <v>41016.729526509233</v>
      </c>
      <c r="F37" s="1">
        <f t="shared" si="7"/>
        <v>17579.256251951854</v>
      </c>
      <c r="G37" s="1">
        <f t="shared" si="7"/>
        <v>0</v>
      </c>
      <c r="H37" s="1" t="e">
        <f t="shared" si="7"/>
        <v>#DIV/0!</v>
      </c>
      <c r="I37" s="1" t="e">
        <f t="shared" si="7"/>
        <v>#DIV/0!</v>
      </c>
      <c r="J37" s="1" t="e">
        <f t="shared" si="7"/>
        <v>#DIV/0!</v>
      </c>
      <c r="K37" s="1" t="e">
        <f t="shared" si="7"/>
        <v>#DIV/0!</v>
      </c>
      <c r="L37" s="1"/>
    </row>
    <row r="38" spans="1:12" x14ac:dyDescent="0.25">
      <c r="A38" s="1" t="s">
        <v>117</v>
      </c>
      <c r="B38" s="1">
        <f t="shared" ref="B38:K38" si="8">B36/B14</f>
        <v>260.82368877425529</v>
      </c>
      <c r="C38" s="1">
        <f t="shared" si="8"/>
        <v>190544.68000962894</v>
      </c>
      <c r="D38" s="1">
        <f t="shared" si="8"/>
        <v>190544.68000962894</v>
      </c>
      <c r="E38" s="1">
        <f t="shared" si="8"/>
        <v>89526.763299975923</v>
      </c>
      <c r="F38" s="1">
        <f t="shared" si="8"/>
        <v>0</v>
      </c>
      <c r="G38" s="1">
        <f t="shared" si="8"/>
        <v>101017.91670965301</v>
      </c>
      <c r="H38" s="1" t="e">
        <f t="shared" si="8"/>
        <v>#DIV/0!</v>
      </c>
      <c r="I38" s="1">
        <f t="shared" si="8"/>
        <v>88.183644933886328</v>
      </c>
      <c r="J38" s="1">
        <f t="shared" si="8"/>
        <v>88.183644933886328</v>
      </c>
      <c r="K38" s="1" t="e">
        <f t="shared" si="8"/>
        <v>#DIV/0!</v>
      </c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48" t="s">
        <v>29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 t="s">
        <v>31</v>
      </c>
      <c r="B43" s="1"/>
      <c r="C43" s="1" t="e">
        <f t="shared" ref="C43:K43" si="9">(C13/C32)*100</f>
        <v>#DIV/0!</v>
      </c>
      <c r="D43" s="1" t="e">
        <f t="shared" si="9"/>
        <v>#DIV/0!</v>
      </c>
      <c r="E43" s="1" t="e">
        <f t="shared" si="9"/>
        <v>#DIV/0!</v>
      </c>
      <c r="F43" s="1" t="e">
        <f t="shared" si="9"/>
        <v>#DIV/0!</v>
      </c>
      <c r="G43" s="1" t="e">
        <f t="shared" si="9"/>
        <v>#DIV/0!</v>
      </c>
      <c r="H43" s="1" t="e">
        <f t="shared" si="9"/>
        <v>#DIV/0!</v>
      </c>
      <c r="I43" s="1" t="e">
        <f t="shared" si="9"/>
        <v>#DIV/0!</v>
      </c>
      <c r="J43" s="1" t="e">
        <f t="shared" si="9"/>
        <v>#DIV/0!</v>
      </c>
      <c r="K43" s="1" t="e">
        <f t="shared" si="9"/>
        <v>#DIV/0!</v>
      </c>
      <c r="L43" s="1"/>
    </row>
    <row r="44" spans="1:12" x14ac:dyDescent="0.25">
      <c r="A44" s="1" t="s">
        <v>32</v>
      </c>
      <c r="B44" s="1"/>
      <c r="C44" s="1" t="e">
        <f>(C15/C32)*100</f>
        <v>#DIV/0!</v>
      </c>
      <c r="D44" s="1" t="e">
        <f t="shared" ref="D44:K44" si="10">(D15/D32)*100</f>
        <v>#DIV/0!</v>
      </c>
      <c r="E44" s="1" t="e">
        <f t="shared" si="10"/>
        <v>#DIV/0!</v>
      </c>
      <c r="F44" s="1" t="e">
        <f t="shared" si="10"/>
        <v>#DIV/0!</v>
      </c>
      <c r="G44" s="1" t="e">
        <f t="shared" si="10"/>
        <v>#DIV/0!</v>
      </c>
      <c r="H44" s="1" t="e">
        <f t="shared" si="10"/>
        <v>#DIV/0!</v>
      </c>
      <c r="I44" s="1" t="e">
        <f t="shared" si="10"/>
        <v>#DIV/0!</v>
      </c>
      <c r="J44" s="1" t="e">
        <f t="shared" si="10"/>
        <v>#DIV/0!</v>
      </c>
      <c r="K44" s="1" t="e">
        <f t="shared" si="10"/>
        <v>#DIV/0!</v>
      </c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 t="s">
        <v>33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 t="s">
        <v>34</v>
      </c>
      <c r="B47" s="1">
        <f>B14/B13*100</f>
        <v>25655.81395348837</v>
      </c>
      <c r="C47" s="1">
        <f t="shared" ref="C47:K47" si="11">C14/C13*100</f>
        <v>55.555555555555557</v>
      </c>
      <c r="D47" s="1">
        <f t="shared" si="11"/>
        <v>83.333333333333343</v>
      </c>
      <c r="E47" s="1">
        <f t="shared" si="11"/>
        <v>83.333333333333343</v>
      </c>
      <c r="F47" s="1">
        <f t="shared" si="11"/>
        <v>83.333333333333343</v>
      </c>
      <c r="G47" s="1">
        <f t="shared" si="11"/>
        <v>83.333333333333343</v>
      </c>
      <c r="H47" s="1">
        <f t="shared" si="11"/>
        <v>0</v>
      </c>
      <c r="I47" s="1">
        <f t="shared" si="11"/>
        <v>44088</v>
      </c>
      <c r="J47" s="1" t="e">
        <f t="shared" si="11"/>
        <v>#DIV/0!</v>
      </c>
      <c r="K47" s="1">
        <f t="shared" si="11"/>
        <v>0</v>
      </c>
      <c r="L47" s="1"/>
    </row>
    <row r="48" spans="1:12" x14ac:dyDescent="0.25">
      <c r="A48" s="1" t="s">
        <v>35</v>
      </c>
      <c r="B48" s="1">
        <f>B21/B20*100</f>
        <v>26.076735550485964</v>
      </c>
      <c r="C48" s="1">
        <f t="shared" ref="C48:I48" si="12">C21/C20*100</f>
        <v>20.301302678720514</v>
      </c>
      <c r="D48" s="1">
        <f t="shared" si="12"/>
        <v>24.704422751874063</v>
      </c>
      <c r="E48" s="1">
        <f t="shared" si="12"/>
        <v>22.170650689131278</v>
      </c>
      <c r="F48" s="1">
        <f t="shared" si="12"/>
        <v>0</v>
      </c>
      <c r="G48" s="1">
        <f t="shared" si="12"/>
        <v>60.271864580661706</v>
      </c>
      <c r="H48" s="1">
        <f t="shared" si="12"/>
        <v>0</v>
      </c>
      <c r="I48" s="1">
        <f t="shared" si="12"/>
        <v>58.958555016643331</v>
      </c>
      <c r="J48" s="1">
        <f>J21/J20*100</f>
        <v>62.68529821485167</v>
      </c>
      <c r="K48" s="1">
        <f>K21/K20*100</f>
        <v>0</v>
      </c>
      <c r="L48" s="1"/>
    </row>
    <row r="49" spans="1:12" x14ac:dyDescent="0.25">
      <c r="A49" s="1" t="s">
        <v>36</v>
      </c>
      <c r="B49" s="1">
        <f t="shared" ref="B49:K49" si="13">AVERAGE(B47:B48)</f>
        <v>12840.945344519429</v>
      </c>
      <c r="C49" s="1">
        <f t="shared" si="13"/>
        <v>37.928429117138037</v>
      </c>
      <c r="D49" s="1">
        <f t="shared" si="13"/>
        <v>54.018878042603703</v>
      </c>
      <c r="E49" s="1">
        <f t="shared" si="13"/>
        <v>52.751992011232311</v>
      </c>
      <c r="F49" s="1">
        <f t="shared" si="13"/>
        <v>41.666666666666671</v>
      </c>
      <c r="G49" s="1">
        <f t="shared" si="13"/>
        <v>71.802598956997528</v>
      </c>
      <c r="H49" s="1">
        <f t="shared" si="13"/>
        <v>0</v>
      </c>
      <c r="I49" s="1">
        <f t="shared" si="13"/>
        <v>22073.479277508322</v>
      </c>
      <c r="J49" s="1" t="e">
        <f t="shared" si="13"/>
        <v>#DIV/0!</v>
      </c>
      <c r="K49" s="1">
        <f t="shared" si="13"/>
        <v>0</v>
      </c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 t="s">
        <v>37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 t="s">
        <v>38</v>
      </c>
      <c r="B52" s="1">
        <f>(B14*2)/(B16*4)*100</f>
        <v>11491.666666666668</v>
      </c>
      <c r="C52" s="1">
        <f t="shared" ref="C52:K52" si="14">(C14*2)/(C16*4)*100</f>
        <v>10.416666666666668</v>
      </c>
      <c r="D52" s="1">
        <f t="shared" si="14"/>
        <v>20.833333333333336</v>
      </c>
      <c r="E52" s="1">
        <f t="shared" si="14"/>
        <v>20.833333333333336</v>
      </c>
      <c r="F52" s="1">
        <f t="shared" si="14"/>
        <v>20.833333333333336</v>
      </c>
      <c r="G52" s="1">
        <f t="shared" si="14"/>
        <v>20.833333333333336</v>
      </c>
      <c r="H52" s="1">
        <f t="shared" si="14"/>
        <v>0</v>
      </c>
      <c r="I52" s="1" t="e">
        <f t="shared" si="14"/>
        <v>#DIV/0!</v>
      </c>
      <c r="J52" s="1" t="e">
        <f t="shared" si="14"/>
        <v>#DIV/0!</v>
      </c>
      <c r="K52" s="1" t="e">
        <f t="shared" si="14"/>
        <v>#DIV/0!</v>
      </c>
      <c r="L52" s="1"/>
    </row>
    <row r="53" spans="1:12" x14ac:dyDescent="0.25">
      <c r="A53" s="1" t="s">
        <v>39</v>
      </c>
      <c r="B53" s="1">
        <f>B21/B22*100</f>
        <v>18.305735205650336</v>
      </c>
      <c r="C53" s="1">
        <f t="shared" ref="C53:I53" si="15">C21/C22*100</f>
        <v>13.951761870337483</v>
      </c>
      <c r="D53" s="1">
        <f t="shared" si="15"/>
        <v>18.039946663332717</v>
      </c>
      <c r="E53" s="1">
        <f t="shared" si="15"/>
        <v>19.192608481215071</v>
      </c>
      <c r="F53" s="1">
        <f t="shared" si="15"/>
        <v>0</v>
      </c>
      <c r="G53" s="1">
        <f t="shared" si="15"/>
        <v>23.5</v>
      </c>
      <c r="H53" s="1">
        <f t="shared" si="15"/>
        <v>0</v>
      </c>
      <c r="I53" s="1">
        <f t="shared" si="15"/>
        <v>47.154672242861096</v>
      </c>
      <c r="J53" s="1">
        <f>J21/J22*100</f>
        <v>62.68529821485167</v>
      </c>
      <c r="K53" s="1">
        <f>K21/K22*100</f>
        <v>0</v>
      </c>
      <c r="L53" s="1"/>
    </row>
    <row r="54" spans="1:12" x14ac:dyDescent="0.25">
      <c r="A54" s="1" t="s">
        <v>40</v>
      </c>
      <c r="B54" s="1">
        <f t="shared" ref="B54:K54" si="16">(B52+B53)/2</f>
        <v>5754.9862009361595</v>
      </c>
      <c r="C54" s="1">
        <f t="shared" si="16"/>
        <v>12.184214268502075</v>
      </c>
      <c r="D54" s="1">
        <f t="shared" si="16"/>
        <v>19.436639998333028</v>
      </c>
      <c r="E54" s="1">
        <f t="shared" si="16"/>
        <v>20.012970907274202</v>
      </c>
      <c r="F54" s="1">
        <f t="shared" si="16"/>
        <v>10.416666666666668</v>
      </c>
      <c r="G54" s="1">
        <f t="shared" si="16"/>
        <v>22.166666666666668</v>
      </c>
      <c r="H54" s="1">
        <f t="shared" si="16"/>
        <v>0</v>
      </c>
      <c r="I54" s="1" t="e">
        <f t="shared" si="16"/>
        <v>#DIV/0!</v>
      </c>
      <c r="J54" s="1" t="e">
        <f t="shared" si="16"/>
        <v>#DIV/0!</v>
      </c>
      <c r="K54" s="1" t="e">
        <f t="shared" si="16"/>
        <v>#DIV/0!</v>
      </c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 t="s">
        <v>118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 t="s">
        <v>41</v>
      </c>
      <c r="B57" s="1">
        <f t="shared" ref="B57:I57" si="17">B23/B21*100</f>
        <v>0</v>
      </c>
      <c r="C57" s="1">
        <f t="shared" si="17"/>
        <v>0</v>
      </c>
      <c r="D57" s="1">
        <f t="shared" si="17"/>
        <v>0</v>
      </c>
      <c r="E57" s="1">
        <f>E23/E21*100</f>
        <v>0</v>
      </c>
      <c r="F57" s="1" t="e">
        <f>F23/F21*100</f>
        <v>#DIV/0!</v>
      </c>
      <c r="G57" s="1">
        <f t="shared" si="17"/>
        <v>0</v>
      </c>
      <c r="H57" s="1" t="e">
        <f>H23/H21*100</f>
        <v>#DIV/0!</v>
      </c>
      <c r="I57" s="1">
        <f t="shared" si="17"/>
        <v>0</v>
      </c>
      <c r="J57" s="1">
        <f>J23/J21*100</f>
        <v>0</v>
      </c>
      <c r="K57" s="1" t="e">
        <f>K23/K21*100</f>
        <v>#DIV/0!</v>
      </c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 t="s">
        <v>42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 t="s">
        <v>43</v>
      </c>
      <c r="B60" s="1">
        <f>((B14/B11)-1)*100</f>
        <v>146993.33333333334</v>
      </c>
      <c r="C60" s="1">
        <f t="shared" ref="C60:K60" si="18">((C14/C11)-1)*100</f>
        <v>33.333333333333329</v>
      </c>
      <c r="D60" s="1">
        <f t="shared" si="18"/>
        <v>33.333333333333329</v>
      </c>
      <c r="E60" s="1">
        <f t="shared" si="18"/>
        <v>33.333333333333329</v>
      </c>
      <c r="F60" s="1">
        <f t="shared" si="18"/>
        <v>33.333333333333329</v>
      </c>
      <c r="G60" s="1">
        <f>((G14/G11)-1)*100</f>
        <v>33.333333333333329</v>
      </c>
      <c r="H60" s="1" t="e">
        <f t="shared" si="18"/>
        <v>#DIV/0!</v>
      </c>
      <c r="I60" s="1" t="e">
        <f t="shared" si="18"/>
        <v>#DIV/0!</v>
      </c>
      <c r="J60" s="1" t="e">
        <f t="shared" si="18"/>
        <v>#DIV/0!</v>
      </c>
      <c r="K60" s="1" t="e">
        <f t="shared" si="18"/>
        <v>#DIV/0!</v>
      </c>
      <c r="L60" s="1"/>
    </row>
    <row r="61" spans="1:12" x14ac:dyDescent="0.25">
      <c r="A61" s="1" t="s">
        <v>44</v>
      </c>
      <c r="B61" s="1">
        <f>((B36/B35)-1)*100</f>
        <v>554.74495026250793</v>
      </c>
      <c r="C61" s="1">
        <f>((C36/C35)-1)*100</f>
        <v>333.57846100024142</v>
      </c>
      <c r="D61" s="1">
        <f t="shared" ref="D61:K61" si="19">((D36/D35)-1)*100</f>
        <v>333.57846100024142</v>
      </c>
      <c r="E61" s="1">
        <f t="shared" si="19"/>
        <v>191.02519657534538</v>
      </c>
      <c r="F61" s="1">
        <f t="shared" si="19"/>
        <v>-100</v>
      </c>
      <c r="G61" s="1" t="e">
        <f t="shared" si="19"/>
        <v>#DIV/0!</v>
      </c>
      <c r="H61" s="1" t="e">
        <f t="shared" si="19"/>
        <v>#DIV/0!</v>
      </c>
      <c r="I61" s="1" t="e">
        <f t="shared" si="19"/>
        <v>#DIV/0!</v>
      </c>
      <c r="J61" s="1" t="e">
        <f t="shared" si="19"/>
        <v>#DIV/0!</v>
      </c>
      <c r="K61" s="1" t="e">
        <f t="shared" si="19"/>
        <v>#DIV/0!</v>
      </c>
      <c r="L61" s="1"/>
    </row>
    <row r="62" spans="1:12" x14ac:dyDescent="0.25">
      <c r="A62" s="1" t="s">
        <v>45</v>
      </c>
      <c r="B62" s="1">
        <f t="shared" ref="B62:K62" si="20">((B38/B37)-1)*100</f>
        <v>-99.554877889143512</v>
      </c>
      <c r="C62" s="1">
        <f t="shared" si="20"/>
        <v>225.18384575018109</v>
      </c>
      <c r="D62" s="1">
        <f t="shared" si="20"/>
        <v>225.18384575018109</v>
      </c>
      <c r="E62" s="1">
        <f t="shared" si="20"/>
        <v>118.26889743150906</v>
      </c>
      <c r="F62" s="1">
        <f t="shared" si="20"/>
        <v>-100</v>
      </c>
      <c r="G62" s="1" t="e">
        <f t="shared" si="20"/>
        <v>#DIV/0!</v>
      </c>
      <c r="H62" s="1" t="e">
        <f t="shared" si="20"/>
        <v>#DIV/0!</v>
      </c>
      <c r="I62" s="1" t="e">
        <f t="shared" si="20"/>
        <v>#DIV/0!</v>
      </c>
      <c r="J62" s="1" t="e">
        <f t="shared" si="20"/>
        <v>#DIV/0!</v>
      </c>
      <c r="K62" s="1" t="e">
        <f t="shared" si="20"/>
        <v>#DIV/0!</v>
      </c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 t="s">
        <v>46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 t="s">
        <v>132</v>
      </c>
      <c r="B65" s="1">
        <f t="shared" ref="B65:K65" si="21">B20/B13</f>
        <v>373103.29063953488</v>
      </c>
      <c r="C65" s="1">
        <f t="shared" si="21"/>
        <v>758140.83319444442</v>
      </c>
      <c r="D65" s="1">
        <f t="shared" si="21"/>
        <v>934523.75</v>
      </c>
      <c r="E65" s="1">
        <f t="shared" si="21"/>
        <v>489263.33333333331</v>
      </c>
      <c r="F65" s="1">
        <f t="shared" si="21"/>
        <v>242187.5</v>
      </c>
      <c r="G65" s="1">
        <f t="shared" si="21"/>
        <v>203072.91666666666</v>
      </c>
      <c r="H65" s="1">
        <f t="shared" si="21"/>
        <v>405374.99958333332</v>
      </c>
      <c r="I65" s="1">
        <f t="shared" si="21"/>
        <v>95876.26</v>
      </c>
      <c r="J65" s="1" t="e">
        <f t="shared" si="21"/>
        <v>#DIV/0!</v>
      </c>
      <c r="K65" s="1">
        <f t="shared" si="21"/>
        <v>5700</v>
      </c>
      <c r="L65" s="1"/>
    </row>
    <row r="66" spans="1:12" x14ac:dyDescent="0.25">
      <c r="A66" s="1" t="s">
        <v>133</v>
      </c>
      <c r="B66" s="1">
        <f t="shared" ref="B66:K66" si="22">B21/B14</f>
        <v>379.22460229332847</v>
      </c>
      <c r="C66" s="1">
        <f t="shared" si="22"/>
        <v>277042.4375</v>
      </c>
      <c r="D66" s="1">
        <f t="shared" si="22"/>
        <v>277042.4375</v>
      </c>
      <c r="E66" s="1">
        <f t="shared" si="22"/>
        <v>130167.4375</v>
      </c>
      <c r="F66" s="1">
        <f t="shared" si="22"/>
        <v>0</v>
      </c>
      <c r="G66" s="1">
        <f t="shared" si="22"/>
        <v>146875</v>
      </c>
      <c r="H66" s="1" t="e">
        <f t="shared" si="22"/>
        <v>#DIV/0!</v>
      </c>
      <c r="I66" s="1">
        <f t="shared" si="22"/>
        <v>128.21461055162402</v>
      </c>
      <c r="J66" s="1">
        <f t="shared" si="22"/>
        <v>128.21461055162402</v>
      </c>
      <c r="K66" s="1" t="e">
        <f t="shared" si="22"/>
        <v>#DIV/0!</v>
      </c>
      <c r="L66" s="1"/>
    </row>
    <row r="67" spans="1:12" x14ac:dyDescent="0.25">
      <c r="A67" s="1" t="s">
        <v>47</v>
      </c>
      <c r="B67" s="1">
        <f>(B65/B66)*B49</f>
        <v>12633671.270243168</v>
      </c>
      <c r="C67" s="1">
        <f t="shared" ref="C67:K67" si="23">(C65/C66)*C49</f>
        <v>103.79309073406291</v>
      </c>
      <c r="D67" s="1">
        <f t="shared" si="23"/>
        <v>182.21729831252537</v>
      </c>
      <c r="E67" s="1">
        <f t="shared" si="23"/>
        <v>198.28012248753757</v>
      </c>
      <c r="F67" s="1" t="e">
        <f>(F65/F66)*F49</f>
        <v>#DIV/0!</v>
      </c>
      <c r="G67" s="1">
        <f t="shared" si="23"/>
        <v>99.276004728132406</v>
      </c>
      <c r="H67" s="1" t="e">
        <f t="shared" si="23"/>
        <v>#DIV/0!</v>
      </c>
      <c r="I67" s="1">
        <f t="shared" si="23"/>
        <v>16506095.750007283</v>
      </c>
      <c r="J67" s="1" t="e">
        <f t="shared" si="23"/>
        <v>#DIV/0!</v>
      </c>
      <c r="K67" s="1" t="e">
        <f t="shared" si="23"/>
        <v>#DIV/0!</v>
      </c>
      <c r="L67" s="1"/>
    </row>
    <row r="68" spans="1:12" s="1" customFormat="1" x14ac:dyDescent="0.25">
      <c r="A68" s="1" t="s">
        <v>130</v>
      </c>
      <c r="B68" s="1">
        <f>B20/(B13*6)</f>
        <v>62183.881773255816</v>
      </c>
      <c r="C68" s="1">
        <f t="shared" ref="C68:K68" si="24">C20/(C13*6)</f>
        <v>126356.80553240741</v>
      </c>
      <c r="D68" s="1">
        <f t="shared" si="24"/>
        <v>155753.95833333334</v>
      </c>
      <c r="E68" s="1">
        <f t="shared" si="24"/>
        <v>81543.888888888891</v>
      </c>
      <c r="F68" s="1">
        <f t="shared" si="24"/>
        <v>40364.583333333336</v>
      </c>
      <c r="G68" s="1">
        <f t="shared" si="24"/>
        <v>33845.486111111109</v>
      </c>
      <c r="H68" s="1">
        <f t="shared" si="24"/>
        <v>67562.499930555554</v>
      </c>
      <c r="I68" s="1">
        <f t="shared" si="24"/>
        <v>15979.376666666667</v>
      </c>
      <c r="J68" s="1" t="e">
        <f t="shared" si="24"/>
        <v>#DIV/0!</v>
      </c>
      <c r="K68" s="1">
        <f t="shared" si="24"/>
        <v>950</v>
      </c>
    </row>
    <row r="69" spans="1:12" s="1" customFormat="1" x14ac:dyDescent="0.25">
      <c r="A69" s="1" t="s">
        <v>131</v>
      </c>
      <c r="B69" s="1">
        <f>B21/(B14*6)</f>
        <v>63.204100382221419</v>
      </c>
      <c r="C69" s="1">
        <f t="shared" ref="C69:K69" si="25">C21/(C14*6)</f>
        <v>46173.739583333336</v>
      </c>
      <c r="D69" s="1">
        <f t="shared" si="25"/>
        <v>46173.739583333336</v>
      </c>
      <c r="E69" s="1">
        <f t="shared" si="25"/>
        <v>21694.572916666668</v>
      </c>
      <c r="F69" s="1">
        <f t="shared" si="25"/>
        <v>0</v>
      </c>
      <c r="G69" s="1">
        <f t="shared" si="25"/>
        <v>24479.166666666668</v>
      </c>
      <c r="H69" s="1" t="e">
        <f t="shared" si="25"/>
        <v>#DIV/0!</v>
      </c>
      <c r="I69" s="1">
        <f t="shared" si="25"/>
        <v>21.369101758604003</v>
      </c>
      <c r="J69" s="1">
        <f t="shared" si="25"/>
        <v>21.369101758604003</v>
      </c>
      <c r="K69" s="1" t="e">
        <f t="shared" si="25"/>
        <v>#DIV/0!</v>
      </c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 t="s">
        <v>48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 t="s">
        <v>49</v>
      </c>
      <c r="B72" s="1">
        <f>(B27/B26)*100</f>
        <v>17.492682292869127</v>
      </c>
      <c r="C72" s="1">
        <f>(C27/C26)*100</f>
        <v>20.565134303426682</v>
      </c>
      <c r="D72" s="1"/>
      <c r="E72" s="1"/>
      <c r="F72" s="1"/>
      <c r="G72" s="1"/>
      <c r="H72" s="1"/>
      <c r="I72" s="1">
        <f>(I27/I26)*100</f>
        <v>0</v>
      </c>
      <c r="J72" s="1"/>
      <c r="K72" s="1"/>
      <c r="L72" s="1"/>
    </row>
    <row r="73" spans="1:12" x14ac:dyDescent="0.25">
      <c r="A73" s="1" t="s">
        <v>50</v>
      </c>
      <c r="B73" s="1">
        <f>(B21/B27)*100</f>
        <v>149.07225269343692</v>
      </c>
      <c r="C73" s="1">
        <f>(C21/C27)*100</f>
        <v>98.717092624762458</v>
      </c>
      <c r="D73" s="1"/>
      <c r="E73" s="1"/>
      <c r="F73" s="1"/>
      <c r="G73" s="1"/>
      <c r="H73" s="1"/>
      <c r="I73" s="1" t="e">
        <f>(I21/I27)*100</f>
        <v>#DIV/0!</v>
      </c>
      <c r="J73" s="1"/>
      <c r="K73" s="1"/>
      <c r="L73" s="1"/>
    </row>
    <row r="74" spans="1:12" ht="15.75" thickBot="1" x14ac:dyDescent="0.3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1"/>
    </row>
    <row r="75" spans="1:12" ht="15.75" thickTop="1" x14ac:dyDescent="0.25">
      <c r="A75" s="16" t="s">
        <v>119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6" t="s">
        <v>120</v>
      </c>
    </row>
    <row r="77" spans="1:12" x14ac:dyDescent="0.25">
      <c r="A77" s="16" t="s">
        <v>121</v>
      </c>
    </row>
    <row r="78" spans="1:12" x14ac:dyDescent="0.25">
      <c r="A78" s="16" t="s">
        <v>122</v>
      </c>
    </row>
    <row r="79" spans="1:12" x14ac:dyDescent="0.25">
      <c r="A79" s="16" t="s">
        <v>123</v>
      </c>
    </row>
    <row r="80" spans="1:12" x14ac:dyDescent="0.25">
      <c r="A80" s="16" t="s">
        <v>126</v>
      </c>
    </row>
    <row r="82" spans="1:1" x14ac:dyDescent="0.25">
      <c r="A82" s="2" t="s">
        <v>124</v>
      </c>
    </row>
    <row r="83" spans="1:1" x14ac:dyDescent="0.25">
      <c r="A83" s="2" t="s">
        <v>125</v>
      </c>
    </row>
    <row r="84" spans="1:1" x14ac:dyDescent="0.25">
      <c r="A84" s="2" t="s">
        <v>127</v>
      </c>
    </row>
    <row r="85" spans="1:1" x14ac:dyDescent="0.25">
      <c r="A85" s="2" t="s">
        <v>141</v>
      </c>
    </row>
    <row r="86" spans="1:1" x14ac:dyDescent="0.25">
      <c r="A86" s="2" t="s">
        <v>142</v>
      </c>
    </row>
    <row r="87" spans="1:1" x14ac:dyDescent="0.25">
      <c r="A87" s="2" t="s">
        <v>143</v>
      </c>
    </row>
    <row r="88" spans="1:1" x14ac:dyDescent="0.25">
      <c r="A88" s="17" t="s">
        <v>144</v>
      </c>
    </row>
  </sheetData>
  <mergeCells count="11">
    <mergeCell ref="A2:K2"/>
    <mergeCell ref="A4:A6"/>
    <mergeCell ref="B4:B6"/>
    <mergeCell ref="C4:H4"/>
    <mergeCell ref="I4:K4"/>
    <mergeCell ref="C5:C6"/>
    <mergeCell ref="D5:G5"/>
    <mergeCell ref="H5:H6"/>
    <mergeCell ref="I5:I6"/>
    <mergeCell ref="J5:J6"/>
    <mergeCell ref="K5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8"/>
  <sheetViews>
    <sheetView topLeftCell="A72" zoomScale="75" zoomScaleNormal="75" workbookViewId="0">
      <selection activeCell="M18" sqref="M18"/>
    </sheetView>
  </sheetViews>
  <sheetFormatPr baseColWidth="10" defaultColWidth="11.42578125" defaultRowHeight="15" x14ac:dyDescent="0.25"/>
  <cols>
    <col min="1" max="1" width="50.85546875" style="2" customWidth="1"/>
    <col min="2" max="10" width="13.7109375" style="2" customWidth="1"/>
    <col min="11" max="11" width="14" style="2" customWidth="1"/>
    <col min="12" max="16384" width="11.42578125" style="2"/>
  </cols>
  <sheetData>
    <row r="2" spans="1:11" ht="15.75" x14ac:dyDescent="0.25">
      <c r="A2" s="24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 x14ac:dyDescent="0.25">
      <c r="A4" s="25" t="s">
        <v>0</v>
      </c>
      <c r="B4" s="28" t="s">
        <v>1</v>
      </c>
      <c r="C4" s="31" t="s">
        <v>2</v>
      </c>
      <c r="D4" s="32"/>
      <c r="E4" s="32"/>
      <c r="F4" s="32"/>
      <c r="G4" s="32"/>
      <c r="H4" s="33"/>
      <c r="I4" s="31" t="s">
        <v>3</v>
      </c>
      <c r="J4" s="32"/>
      <c r="K4" s="33"/>
    </row>
    <row r="5" spans="1:11" ht="15" customHeight="1" x14ac:dyDescent="0.25">
      <c r="A5" s="26"/>
      <c r="B5" s="29"/>
      <c r="C5" s="34" t="s">
        <v>4</v>
      </c>
      <c r="D5" s="31" t="s">
        <v>5</v>
      </c>
      <c r="E5" s="32"/>
      <c r="F5" s="32"/>
      <c r="G5" s="33"/>
      <c r="H5" s="42" t="s">
        <v>6</v>
      </c>
      <c r="I5" s="36" t="s">
        <v>4</v>
      </c>
      <c r="J5" s="38" t="s">
        <v>7</v>
      </c>
      <c r="K5" s="40" t="s">
        <v>8</v>
      </c>
    </row>
    <row r="6" spans="1:11" ht="45.75" thickBot="1" x14ac:dyDescent="0.3">
      <c r="A6" s="27"/>
      <c r="B6" s="30"/>
      <c r="C6" s="35"/>
      <c r="D6" s="6" t="s">
        <v>4</v>
      </c>
      <c r="E6" s="7" t="s">
        <v>9</v>
      </c>
      <c r="F6" s="8" t="s">
        <v>10</v>
      </c>
      <c r="G6" s="9" t="s">
        <v>11</v>
      </c>
      <c r="H6" s="39"/>
      <c r="I6" s="37"/>
      <c r="J6" s="39"/>
      <c r="K6" s="41"/>
    </row>
    <row r="7" spans="1:11" ht="15.75" thickTop="1" x14ac:dyDescent="0.25"/>
    <row r="8" spans="1:11" x14ac:dyDescent="0.25">
      <c r="A8" s="10" t="s">
        <v>12</v>
      </c>
    </row>
    <row r="10" spans="1:11" x14ac:dyDescent="0.25">
      <c r="A10" s="2" t="s">
        <v>138</v>
      </c>
    </row>
    <row r="11" spans="1:11" x14ac:dyDescent="0.25">
      <c r="A11" s="11" t="s">
        <v>97</v>
      </c>
      <c r="B11" s="1">
        <f>C11+I11</f>
        <v>48</v>
      </c>
      <c r="C11" s="1">
        <f>D11+H11</f>
        <v>48</v>
      </c>
      <c r="D11" s="1">
        <f>E11</f>
        <v>48</v>
      </c>
      <c r="E11" s="1">
        <f>'I Trimestre'!E11+'II Trimestre'!E11+'III Trimestre'!E11</f>
        <v>48</v>
      </c>
      <c r="F11" s="1">
        <f>'I Trimestre'!F11+'II Trimestre'!F11+'III Trimestre'!F11</f>
        <v>48</v>
      </c>
      <c r="G11" s="1">
        <f>'I Trimestre'!G11+'II Trimestre'!G11+'III Trimestre'!G11</f>
        <v>48</v>
      </c>
      <c r="H11" s="1">
        <f>'I Trimestre'!H11+'II Trimestre'!H11+'III Trimestre'!H11</f>
        <v>0</v>
      </c>
      <c r="I11" s="1">
        <f>SUM(J11:K11)</f>
        <v>0</v>
      </c>
      <c r="J11" s="1">
        <f>'I Trimestre'!J11+'II Trimestre'!J11+'III Trimestre'!J11</f>
        <v>0</v>
      </c>
      <c r="K11" s="1">
        <f>'I Trimestre'!K11+'II Trimestre'!K11+'III Trimestre'!K11</f>
        <v>0</v>
      </c>
    </row>
    <row r="12" spans="1:11" x14ac:dyDescent="0.25">
      <c r="A12" s="12" t="s">
        <v>139</v>
      </c>
      <c r="B12" s="1">
        <f t="shared" ref="B12:B16" si="0">C12+I12</f>
        <v>89</v>
      </c>
      <c r="C12" s="1">
        <f t="shared" ref="C12:C16" si="1">D12+H12</f>
        <v>89</v>
      </c>
      <c r="D12" s="1">
        <f t="shared" ref="D12:D16" si="2">E12</f>
        <v>89</v>
      </c>
      <c r="E12" s="1">
        <f>18+9+9+7+5+9+12+7+13</f>
        <v>89</v>
      </c>
      <c r="F12" s="1">
        <f>18+9+9+7+5+9+12+7+13</f>
        <v>89</v>
      </c>
      <c r="G12" s="1">
        <f>18+9+9+7+5+9+12+7+13</f>
        <v>89</v>
      </c>
      <c r="H12" s="1">
        <v>0</v>
      </c>
      <c r="I12" s="1">
        <f t="shared" ref="I12:I16" si="3">SUM(J12:K12)</f>
        <v>0</v>
      </c>
      <c r="J12" s="1">
        <v>0</v>
      </c>
      <c r="K12" s="1">
        <v>0</v>
      </c>
    </row>
    <row r="13" spans="1:11" x14ac:dyDescent="0.25">
      <c r="A13" s="11" t="s">
        <v>98</v>
      </c>
      <c r="B13" s="1">
        <f t="shared" si="0"/>
        <v>649</v>
      </c>
      <c r="C13" s="1">
        <f t="shared" si="1"/>
        <v>144</v>
      </c>
      <c r="D13" s="1">
        <f t="shared" si="2"/>
        <v>72</v>
      </c>
      <c r="E13" s="2">
        <f>'I Trimestre'!E13+'II Trimestre'!E13+'III Trimestre'!E13</f>
        <v>72</v>
      </c>
      <c r="F13" s="2">
        <f>'I Trimestre'!F13+'II Trimestre'!F13+'III Trimestre'!F13</f>
        <v>72</v>
      </c>
      <c r="G13" s="2">
        <f>'I Trimestre'!G13+'II Trimestre'!G13+'III Trimestre'!G13</f>
        <v>72</v>
      </c>
      <c r="H13" s="2">
        <f>'I Trimestre'!H13+'II Trimestre'!H13+'III Trimestre'!H13</f>
        <v>72</v>
      </c>
      <c r="I13" s="1">
        <f t="shared" si="3"/>
        <v>505</v>
      </c>
      <c r="J13" s="2">
        <f>'I Trimestre'!J13+'II Trimestre'!J13+'III Trimestre'!J13</f>
        <v>0</v>
      </c>
      <c r="K13" s="2">
        <f>'I Trimestre'!K13+'II Trimestre'!K13+'III Trimestre'!K13</f>
        <v>505</v>
      </c>
    </row>
    <row r="14" spans="1:11" x14ac:dyDescent="0.25">
      <c r="A14" s="11" t="s">
        <v>99</v>
      </c>
      <c r="B14" s="1">
        <f t="shared" si="0"/>
        <v>110638</v>
      </c>
      <c r="C14" s="1">
        <f t="shared" si="1"/>
        <v>60</v>
      </c>
      <c r="D14" s="1">
        <f t="shared" si="2"/>
        <v>60</v>
      </c>
      <c r="E14" s="2">
        <f>'I Trimestre'!E14+'II Trimestre'!E14+'III Trimestre'!E14</f>
        <v>60</v>
      </c>
      <c r="F14" s="2">
        <f>'I Trimestre'!F14+'II Trimestre'!F14+'III Trimestre'!F14</f>
        <v>60</v>
      </c>
      <c r="G14" s="2">
        <f>'I Trimestre'!G14+'II Trimestre'!G14+'III Trimestre'!G14</f>
        <v>60</v>
      </c>
      <c r="H14" s="2">
        <f>AVERAGE('I Trimestre'!H14,+'II Trimestre'!H14,+'III Trimestre'!H14)</f>
        <v>0</v>
      </c>
      <c r="I14" s="1">
        <f t="shared" si="3"/>
        <v>110578</v>
      </c>
      <c r="J14" s="1">
        <f>'I Trimestre'!J14+'II Trimestre'!J14+'III Trimestre'!J14</f>
        <v>110133</v>
      </c>
      <c r="K14" s="1">
        <f>'I Trimestre'!K14+'II Trimestre'!K14+'III Trimestre'!K14</f>
        <v>445</v>
      </c>
    </row>
    <row r="15" spans="1:11" x14ac:dyDescent="0.25">
      <c r="A15" s="12" t="s">
        <v>139</v>
      </c>
      <c r="B15" s="1">
        <f t="shared" si="0"/>
        <v>110710</v>
      </c>
      <c r="C15" s="1">
        <f t="shared" si="1"/>
        <v>132</v>
      </c>
      <c r="D15" s="1">
        <f t="shared" si="2"/>
        <v>132</v>
      </c>
      <c r="E15" s="2">
        <f>25+10+17+16+16+17+9+6+16</f>
        <v>132</v>
      </c>
      <c r="F15" s="2">
        <f>25+10+17+16+16+17+9+6+16</f>
        <v>132</v>
      </c>
      <c r="G15" s="2">
        <f>25+10+17+16+16+17+9+6+16</f>
        <v>132</v>
      </c>
      <c r="H15" s="2">
        <v>0</v>
      </c>
      <c r="I15" s="1">
        <f t="shared" si="3"/>
        <v>110578</v>
      </c>
      <c r="J15" s="1">
        <f>'I Trimestre'!J15+'II Trimestre'!J15+'III Trimestre'!J15</f>
        <v>110133</v>
      </c>
      <c r="K15" s="1">
        <f>'I Trimestre'!K15+'II Trimestre'!K15+'III Trimestre'!K15</f>
        <v>445</v>
      </c>
    </row>
    <row r="16" spans="1:11" x14ac:dyDescent="0.25">
      <c r="A16" s="11" t="s">
        <v>16</v>
      </c>
      <c r="B16" s="1">
        <f t="shared" si="0"/>
        <v>732</v>
      </c>
      <c r="C16" s="1">
        <f t="shared" si="1"/>
        <v>192</v>
      </c>
      <c r="D16" s="1">
        <f t="shared" si="2"/>
        <v>96</v>
      </c>
      <c r="E16" s="2">
        <f>24*4</f>
        <v>96</v>
      </c>
      <c r="F16" s="2">
        <f>24*4</f>
        <v>96</v>
      </c>
      <c r="G16" s="2">
        <f>24*4</f>
        <v>96</v>
      </c>
      <c r="H16" s="2">
        <f>24*4</f>
        <v>96</v>
      </c>
      <c r="I16" s="1">
        <f t="shared" si="3"/>
        <v>540</v>
      </c>
      <c r="J16" s="2">
        <v>0</v>
      </c>
      <c r="K16" s="2">
        <v>540</v>
      </c>
    </row>
    <row r="17" spans="1:13" x14ac:dyDescent="0.25">
      <c r="I17" s="1"/>
    </row>
    <row r="18" spans="1:13" x14ac:dyDescent="0.25">
      <c r="A18" s="13" t="s">
        <v>17</v>
      </c>
      <c r="I18" s="1"/>
    </row>
    <row r="19" spans="1:13" x14ac:dyDescent="0.25">
      <c r="A19" s="11" t="s">
        <v>97</v>
      </c>
      <c r="B19" s="1">
        <f>C19+I19</f>
        <v>3808536.6</v>
      </c>
      <c r="C19" s="1">
        <f>D19+H19</f>
        <v>3808536.6</v>
      </c>
      <c r="D19" s="1">
        <f>SUM(E19:G19)</f>
        <v>3808536.6</v>
      </c>
      <c r="E19" s="1">
        <f>'I Trimestre'!E19+'II Trimestre'!E19+'III Trimestre'!E19</f>
        <v>2665945.7000000002</v>
      </c>
      <c r="F19" s="1">
        <f>'I Trimestre'!F19+'II Trimestre'!F19+'III Trimestre'!F19</f>
        <v>1142590.8999999999</v>
      </c>
      <c r="G19" s="1">
        <f>'I Trimestre'!G19+'II Trimestre'!G19+'III Trimestre'!G19</f>
        <v>0</v>
      </c>
      <c r="H19" s="1">
        <f>'I Trimestre'!H19+'II Trimestre'!H19+'III Trimestre'!H19</f>
        <v>0</v>
      </c>
      <c r="I19" s="1">
        <f>SUM(J19:K19)</f>
        <v>0</v>
      </c>
      <c r="J19" s="1">
        <f>'I Trimestre'!J19+'II Trimestre'!J19+'III Trimestre'!J19</f>
        <v>0</v>
      </c>
      <c r="K19" s="1">
        <f>'I Trimestre'!K19+'II Trimestre'!K19+'III Trimestre'!K19</f>
        <v>0</v>
      </c>
    </row>
    <row r="20" spans="1:13" x14ac:dyDescent="0.25">
      <c r="A20" s="11" t="s">
        <v>98</v>
      </c>
      <c r="B20" s="2">
        <f>C20+I20</f>
        <v>86484456.030000001</v>
      </c>
      <c r="C20" s="2">
        <f>D20+H20</f>
        <v>74226830.030000001</v>
      </c>
      <c r="D20" s="2">
        <f>SUM(E20:G20)</f>
        <v>58951830.029999994</v>
      </c>
      <c r="E20" s="2">
        <f>'I Trimestre'!E20+'II Trimestre'!E20+'III Trimestre'!E20</f>
        <v>28589330.02</v>
      </c>
      <c r="F20" s="2">
        <f>'I Trimestre'!F20+'II Trimestre'!F20+'III Trimestre'!F20</f>
        <v>11625000</v>
      </c>
      <c r="G20" s="2">
        <f>'I Trimestre'!G20+'II Trimestre'!G20+'III Trimestre'!G20</f>
        <v>18737500.009999998</v>
      </c>
      <c r="H20" s="2">
        <f>'I Trimestre'!H20+'II Trimestre'!H20+'III Trimestre'!H20</f>
        <v>15275000</v>
      </c>
      <c r="I20" s="1">
        <f t="shared" ref="I20:I22" si="4">SUM(J20:K20)</f>
        <v>12257626</v>
      </c>
      <c r="J20" s="2">
        <f>'I Trimestre'!J20+'II Trimestre'!J20+'III Trimestre'!J20</f>
        <v>9017626</v>
      </c>
      <c r="K20" s="2">
        <f>'I Trimestre'!K20+'II Trimestre'!K20+'III Trimestre'!K20</f>
        <v>3240000</v>
      </c>
    </row>
    <row r="21" spans="1:13" x14ac:dyDescent="0.25">
      <c r="A21" s="11" t="s">
        <v>99</v>
      </c>
      <c r="B21" s="2">
        <f>C21+I21</f>
        <v>31077958.25</v>
      </c>
      <c r="C21" s="2">
        <f>D21+H21</f>
        <v>21813732.5</v>
      </c>
      <c r="D21" s="2">
        <f>SUM(E21:G21)</f>
        <v>21813732.5</v>
      </c>
      <c r="E21" s="1">
        <f>'I Trimestre'!E21+'II Trimestre'!E21+'III Trimestre'!E21</f>
        <v>9128732.5</v>
      </c>
      <c r="F21" s="1">
        <f>'I Trimestre'!F21+'II Trimestre'!F21+'III Trimestre'!F21</f>
        <v>6810000</v>
      </c>
      <c r="G21" s="1">
        <f>'I Trimestre'!G21+'II Trimestre'!G21+'III Trimestre'!G21</f>
        <v>5875000</v>
      </c>
      <c r="H21" s="1">
        <f>'I Trimestre'!H21+'II Trimestre'!H21+'III Trimestre'!H21</f>
        <v>0</v>
      </c>
      <c r="I21" s="1">
        <f>SUM(J21:K21)</f>
        <v>9264225.75</v>
      </c>
      <c r="J21" s="1">
        <f>'I Trimestre'!J21+'II Trimestre'!J21+'III Trimestre'!J21</f>
        <v>9016725.75</v>
      </c>
      <c r="K21" s="1">
        <f>'I Trimestre'!K21+'II Trimestre'!K21+'III Trimestre'!K21</f>
        <v>247500</v>
      </c>
      <c r="M21" s="1"/>
    </row>
    <row r="22" spans="1:13" x14ac:dyDescent="0.25">
      <c r="A22" s="11" t="s">
        <v>16</v>
      </c>
      <c r="B22" s="2">
        <f>C22+I22</f>
        <v>93891619.340000004</v>
      </c>
      <c r="C22" s="2">
        <f>D22+H22</f>
        <v>81903993.340000004</v>
      </c>
      <c r="D22" s="2">
        <f>SUM(E22:G22)</f>
        <v>61428660</v>
      </c>
      <c r="E22" s="2">
        <f>'III Trimestre'!E22</f>
        <v>27128660</v>
      </c>
      <c r="F22" s="2">
        <f>'III Trimestre'!F22</f>
        <v>9300000</v>
      </c>
      <c r="G22" s="2">
        <f>'III Trimestre'!G22</f>
        <v>25000000</v>
      </c>
      <c r="H22" s="2">
        <f>'III Trimestre'!H22</f>
        <v>20475333.340000004</v>
      </c>
      <c r="I22" s="1">
        <f t="shared" si="4"/>
        <v>11987626</v>
      </c>
      <c r="J22" s="2">
        <f>'III Trimestre'!J22</f>
        <v>9017626</v>
      </c>
      <c r="K22" s="2">
        <f>'III Trimestre'!K22</f>
        <v>2970000</v>
      </c>
    </row>
    <row r="23" spans="1:13" x14ac:dyDescent="0.25">
      <c r="A23" s="11" t="s">
        <v>100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3" x14ac:dyDescent="0.25">
      <c r="A25" s="43" t="s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3" x14ac:dyDescent="0.25">
      <c r="A26" s="44" t="s">
        <v>98</v>
      </c>
      <c r="B26" s="1">
        <f>B20</f>
        <v>86484456.030000001</v>
      </c>
      <c r="C26" s="1">
        <f>C20</f>
        <v>74226830.030000001</v>
      </c>
      <c r="D26" s="1"/>
      <c r="E26" s="1"/>
      <c r="F26" s="1"/>
      <c r="G26" s="1"/>
      <c r="H26" s="1"/>
      <c r="I26" s="1">
        <f>I20</f>
        <v>12257626</v>
      </c>
      <c r="J26" s="1"/>
      <c r="K26" s="1"/>
      <c r="L26" s="1"/>
    </row>
    <row r="27" spans="1:13" x14ac:dyDescent="0.25">
      <c r="A27" s="44" t="s">
        <v>99</v>
      </c>
      <c r="B27" s="1">
        <f>+'I Trimestre'!B27+'II Trimestre'!B27+'III Trimestre'!B27</f>
        <v>53636563.75</v>
      </c>
      <c r="C27" s="1">
        <f>+'I Trimestre'!C27+'II Trimestre'!C27+'III Trimestre'!C27</f>
        <v>42108036</v>
      </c>
      <c r="D27" s="1"/>
      <c r="E27" s="1"/>
      <c r="F27" s="1"/>
      <c r="G27" s="1"/>
      <c r="H27" s="1"/>
      <c r="I27" s="1">
        <f>+'I Trimestre'!I27+'II Trimestre'!I27+'III Trimestre'!I27</f>
        <v>11528527.75</v>
      </c>
      <c r="J27" s="1"/>
      <c r="K27" s="1"/>
      <c r="L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3" x14ac:dyDescent="0.25">
      <c r="A29" s="1" t="s">
        <v>20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3" x14ac:dyDescent="0.25">
      <c r="A30" s="44" t="s">
        <v>101</v>
      </c>
      <c r="B30" s="45">
        <v>1.3931222222222224</v>
      </c>
      <c r="C30" s="45">
        <v>1.3931222222222224</v>
      </c>
      <c r="D30" s="45">
        <v>1.3931222222222224</v>
      </c>
      <c r="E30" s="45">
        <v>1.3931222222222224</v>
      </c>
      <c r="F30" s="45">
        <v>1.3931222222222224</v>
      </c>
      <c r="G30" s="45">
        <v>1.3931222222222224</v>
      </c>
      <c r="H30" s="45">
        <v>1.3931222222222224</v>
      </c>
      <c r="I30" s="45">
        <v>1.3931222222222224</v>
      </c>
      <c r="J30" s="45">
        <v>1.3931222222222224</v>
      </c>
      <c r="K30" s="45">
        <v>1.3931222222222224</v>
      </c>
      <c r="L30" s="1"/>
    </row>
    <row r="31" spans="1:13" x14ac:dyDescent="0.25">
      <c r="A31" s="44" t="s">
        <v>102</v>
      </c>
      <c r="B31" s="45">
        <v>1.4617555555555557</v>
      </c>
      <c r="C31" s="45">
        <v>1.4617555555555557</v>
      </c>
      <c r="D31" s="45">
        <v>1.4617555555555557</v>
      </c>
      <c r="E31" s="45">
        <v>1.4617555555555557</v>
      </c>
      <c r="F31" s="45">
        <v>1.4617555555555557</v>
      </c>
      <c r="G31" s="45">
        <v>1.4617555555555557</v>
      </c>
      <c r="H31" s="45">
        <v>1.4617555555555557</v>
      </c>
      <c r="I31" s="45">
        <v>1.4617555555555557</v>
      </c>
      <c r="J31" s="45">
        <v>1.4617555555555557</v>
      </c>
      <c r="K31" s="45">
        <v>1.4617555555555557</v>
      </c>
      <c r="L31" s="1"/>
    </row>
    <row r="32" spans="1:13" x14ac:dyDescent="0.25">
      <c r="A32" s="44" t="s">
        <v>23</v>
      </c>
      <c r="B32" s="1"/>
      <c r="C32" s="47"/>
      <c r="D32" s="47"/>
      <c r="E32" s="47"/>
      <c r="F32" s="47"/>
      <c r="G32" s="47"/>
      <c r="H32" s="47"/>
      <c r="I32" s="47"/>
      <c r="J32" s="47"/>
      <c r="K32" s="47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48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103</v>
      </c>
      <c r="B35" s="1">
        <f>B19/B30</f>
        <v>2733813.6878793435</v>
      </c>
      <c r="C35" s="1">
        <f t="shared" ref="C35:K35" si="5">C19/C30</f>
        <v>2733813.6878793435</v>
      </c>
      <c r="D35" s="1">
        <f>D19/D30</f>
        <v>2733813.6878793435</v>
      </c>
      <c r="E35" s="1">
        <f t="shared" si="5"/>
        <v>1913648.1045772485</v>
      </c>
      <c r="F35" s="1">
        <f t="shared" si="5"/>
        <v>820165.58330209507</v>
      </c>
      <c r="G35" s="1">
        <f t="shared" si="5"/>
        <v>0</v>
      </c>
      <c r="H35" s="1">
        <f t="shared" si="5"/>
        <v>0</v>
      </c>
      <c r="I35" s="1">
        <f t="shared" si="5"/>
        <v>0</v>
      </c>
      <c r="J35" s="1">
        <f t="shared" si="5"/>
        <v>0</v>
      </c>
      <c r="K35" s="1">
        <f t="shared" si="5"/>
        <v>0</v>
      </c>
      <c r="L35" s="1"/>
    </row>
    <row r="36" spans="1:12" x14ac:dyDescent="0.25">
      <c r="A36" s="1" t="s">
        <v>104</v>
      </c>
      <c r="B36" s="1">
        <f t="shared" ref="B36:I36" si="6">B21/B31</f>
        <v>21260708.147737119</v>
      </c>
      <c r="C36" s="1">
        <f t="shared" si="6"/>
        <v>14922968.766627645</v>
      </c>
      <c r="D36" s="1">
        <f t="shared" si="6"/>
        <v>14922968.766627645</v>
      </c>
      <c r="E36" s="1">
        <f t="shared" si="6"/>
        <v>6245047.2415208491</v>
      </c>
      <c r="F36" s="1">
        <f t="shared" si="6"/>
        <v>4658781.6780431438</v>
      </c>
      <c r="G36" s="1">
        <f>G21/G31</f>
        <v>4019139.8470636522</v>
      </c>
      <c r="H36" s="1">
        <f t="shared" si="6"/>
        <v>0</v>
      </c>
      <c r="I36" s="1">
        <f t="shared" si="6"/>
        <v>6337739.3811094724</v>
      </c>
      <c r="J36" s="1">
        <f>J21/J31</f>
        <v>6168422.4258501949</v>
      </c>
      <c r="K36" s="1">
        <f>K21/K31</f>
        <v>169316.95525927725</v>
      </c>
      <c r="L36" s="1"/>
    </row>
    <row r="37" spans="1:12" x14ac:dyDescent="0.25">
      <c r="A37" s="1" t="s">
        <v>105</v>
      </c>
      <c r="B37" s="1">
        <f t="shared" ref="B37:K37" si="7">B35/B11</f>
        <v>56954.451830819657</v>
      </c>
      <c r="C37" s="1">
        <f t="shared" si="7"/>
        <v>56954.451830819657</v>
      </c>
      <c r="D37" s="1">
        <f t="shared" si="7"/>
        <v>56954.451830819657</v>
      </c>
      <c r="E37" s="1">
        <f t="shared" si="7"/>
        <v>39867.668845359345</v>
      </c>
      <c r="F37" s="1">
        <f t="shared" si="7"/>
        <v>17086.782985460315</v>
      </c>
      <c r="G37" s="1">
        <f t="shared" si="7"/>
        <v>0</v>
      </c>
      <c r="H37" s="1" t="e">
        <f t="shared" si="7"/>
        <v>#DIV/0!</v>
      </c>
      <c r="I37" s="1" t="e">
        <f t="shared" si="7"/>
        <v>#DIV/0!</v>
      </c>
      <c r="J37" s="1" t="e">
        <f t="shared" si="7"/>
        <v>#DIV/0!</v>
      </c>
      <c r="K37" s="1" t="e">
        <f t="shared" si="7"/>
        <v>#DIV/0!</v>
      </c>
      <c r="L37" s="1"/>
    </row>
    <row r="38" spans="1:12" x14ac:dyDescent="0.25">
      <c r="A38" s="1" t="s">
        <v>106</v>
      </c>
      <c r="B38" s="1">
        <f t="shared" ref="B38:K38" si="8">B36/B14</f>
        <v>192.16461024003615</v>
      </c>
      <c r="C38" s="1">
        <f t="shared" si="8"/>
        <v>248716.14611046074</v>
      </c>
      <c r="D38" s="1">
        <f t="shared" si="8"/>
        <v>248716.14611046074</v>
      </c>
      <c r="E38" s="1">
        <f t="shared" si="8"/>
        <v>104084.12069201416</v>
      </c>
      <c r="F38" s="1">
        <f t="shared" si="8"/>
        <v>77646.361300719058</v>
      </c>
      <c r="G38" s="1">
        <f t="shared" si="8"/>
        <v>66985.664117727531</v>
      </c>
      <c r="H38" s="1" t="e">
        <f t="shared" si="8"/>
        <v>#DIV/0!</v>
      </c>
      <c r="I38" s="1">
        <f t="shared" si="8"/>
        <v>57.314650121267093</v>
      </c>
      <c r="J38" s="1">
        <f t="shared" si="8"/>
        <v>56.008847719123196</v>
      </c>
      <c r="K38" s="1">
        <f t="shared" si="8"/>
        <v>380.4875399084882</v>
      </c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48" t="s">
        <v>29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 t="s">
        <v>31</v>
      </c>
      <c r="B43" s="1"/>
      <c r="C43" s="1" t="e">
        <f>(C13/C32)*100</f>
        <v>#DIV/0!</v>
      </c>
      <c r="D43" s="1" t="e">
        <f t="shared" ref="D43:K43" si="9">(D13/D32)*100</f>
        <v>#DIV/0!</v>
      </c>
      <c r="E43" s="1" t="e">
        <f t="shared" si="9"/>
        <v>#DIV/0!</v>
      </c>
      <c r="F43" s="1" t="e">
        <f t="shared" si="9"/>
        <v>#DIV/0!</v>
      </c>
      <c r="G43" s="1" t="e">
        <f t="shared" si="9"/>
        <v>#DIV/0!</v>
      </c>
      <c r="H43" s="1" t="e">
        <f t="shared" si="9"/>
        <v>#DIV/0!</v>
      </c>
      <c r="I43" s="1" t="e">
        <f t="shared" si="9"/>
        <v>#DIV/0!</v>
      </c>
      <c r="J43" s="1" t="e">
        <f t="shared" si="9"/>
        <v>#DIV/0!</v>
      </c>
      <c r="K43" s="1" t="e">
        <f t="shared" si="9"/>
        <v>#DIV/0!</v>
      </c>
      <c r="L43" s="1"/>
    </row>
    <row r="44" spans="1:12" x14ac:dyDescent="0.25">
      <c r="A44" s="1" t="s">
        <v>32</v>
      </c>
      <c r="B44" s="1"/>
      <c r="C44" s="1" t="e">
        <f>(C15/C32)*100</f>
        <v>#DIV/0!</v>
      </c>
      <c r="D44" s="1" t="e">
        <f t="shared" ref="D44:K44" si="10">(D15/D32)*100</f>
        <v>#DIV/0!</v>
      </c>
      <c r="E44" s="1" t="e">
        <f t="shared" si="10"/>
        <v>#DIV/0!</v>
      </c>
      <c r="F44" s="1" t="e">
        <f t="shared" si="10"/>
        <v>#DIV/0!</v>
      </c>
      <c r="G44" s="1" t="e">
        <f t="shared" si="10"/>
        <v>#DIV/0!</v>
      </c>
      <c r="H44" s="1" t="e">
        <f t="shared" si="10"/>
        <v>#DIV/0!</v>
      </c>
      <c r="I44" s="1" t="e">
        <f t="shared" si="10"/>
        <v>#DIV/0!</v>
      </c>
      <c r="J44" s="1" t="e">
        <f t="shared" si="10"/>
        <v>#DIV/0!</v>
      </c>
      <c r="K44" s="1" t="e">
        <f t="shared" si="10"/>
        <v>#DIV/0!</v>
      </c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 t="s">
        <v>33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 t="s">
        <v>34</v>
      </c>
      <c r="B47" s="1">
        <f>B14/B13*100</f>
        <v>17047.457627118645</v>
      </c>
      <c r="C47" s="1">
        <f t="shared" ref="C47:K47" si="11">C14/C13*100</f>
        <v>41.666666666666671</v>
      </c>
      <c r="D47" s="1">
        <f t="shared" si="11"/>
        <v>83.333333333333343</v>
      </c>
      <c r="E47" s="1">
        <f t="shared" si="11"/>
        <v>83.333333333333343</v>
      </c>
      <c r="F47" s="1">
        <f t="shared" si="11"/>
        <v>83.333333333333343</v>
      </c>
      <c r="G47" s="1">
        <f t="shared" si="11"/>
        <v>83.333333333333343</v>
      </c>
      <c r="H47" s="1">
        <f t="shared" si="11"/>
        <v>0</v>
      </c>
      <c r="I47" s="1">
        <f t="shared" si="11"/>
        <v>21896.633663366338</v>
      </c>
      <c r="J47" s="1" t="e">
        <f t="shared" si="11"/>
        <v>#DIV/0!</v>
      </c>
      <c r="K47" s="1">
        <f t="shared" si="11"/>
        <v>88.118811881188122</v>
      </c>
      <c r="L47" s="1"/>
    </row>
    <row r="48" spans="1:12" x14ac:dyDescent="0.25">
      <c r="A48" s="1" t="s">
        <v>35</v>
      </c>
      <c r="B48" s="1">
        <f>B21/B20*100</f>
        <v>35.93473287178864</v>
      </c>
      <c r="C48" s="1">
        <f t="shared" ref="C48:I48" si="12">C21/C20*100</f>
        <v>29.387934916772839</v>
      </c>
      <c r="D48" s="1">
        <f t="shared" si="12"/>
        <v>37.002638406473913</v>
      </c>
      <c r="E48" s="1">
        <f t="shared" si="12"/>
        <v>31.930557636761296</v>
      </c>
      <c r="F48" s="1">
        <f t="shared" si="12"/>
        <v>58.58064516129032</v>
      </c>
      <c r="G48" s="1">
        <f t="shared" si="12"/>
        <v>31.354236140704884</v>
      </c>
      <c r="H48" s="1">
        <f t="shared" si="12"/>
        <v>0</v>
      </c>
      <c r="I48" s="1">
        <f t="shared" si="12"/>
        <v>75.579282236217679</v>
      </c>
      <c r="J48" s="1">
        <f>J21/J20*100</f>
        <v>99.99001677381608</v>
      </c>
      <c r="K48" s="1">
        <f>K21/K20*100</f>
        <v>7.6388888888888893</v>
      </c>
      <c r="L48" s="1"/>
    </row>
    <row r="49" spans="1:12" x14ac:dyDescent="0.25">
      <c r="A49" s="1" t="s">
        <v>36</v>
      </c>
      <c r="B49" s="1">
        <f t="shared" ref="B49:K49" si="13">AVERAGE(B47:B48)</f>
        <v>8541.6961799952169</v>
      </c>
      <c r="C49" s="1">
        <f t="shared" si="13"/>
        <v>35.527300791719753</v>
      </c>
      <c r="D49" s="1">
        <f t="shared" si="13"/>
        <v>60.167985869903632</v>
      </c>
      <c r="E49" s="1">
        <f t="shared" si="13"/>
        <v>57.631945485047318</v>
      </c>
      <c r="F49" s="1">
        <f t="shared" si="13"/>
        <v>70.956989247311839</v>
      </c>
      <c r="G49" s="1">
        <f t="shared" si="13"/>
        <v>57.343784737019114</v>
      </c>
      <c r="H49" s="1">
        <f t="shared" si="13"/>
        <v>0</v>
      </c>
      <c r="I49" s="1">
        <f t="shared" si="13"/>
        <v>10986.106472801277</v>
      </c>
      <c r="J49" s="1" t="e">
        <f t="shared" si="13"/>
        <v>#DIV/0!</v>
      </c>
      <c r="K49" s="1">
        <f t="shared" si="13"/>
        <v>47.878850385038504</v>
      </c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 t="s">
        <v>37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 t="s">
        <v>38</v>
      </c>
      <c r="B52" s="1">
        <f>(B14*3)/(B16*4)*100</f>
        <v>11335.860655737704</v>
      </c>
      <c r="C52" s="1">
        <f t="shared" ref="C52:K52" si="14">(C14*3)/(C16*4)*100</f>
        <v>23.4375</v>
      </c>
      <c r="D52" s="1">
        <f t="shared" si="14"/>
        <v>46.875</v>
      </c>
      <c r="E52" s="1">
        <f t="shared" si="14"/>
        <v>46.875</v>
      </c>
      <c r="F52" s="1">
        <f t="shared" si="14"/>
        <v>46.875</v>
      </c>
      <c r="G52" s="1">
        <f t="shared" si="14"/>
        <v>46.875</v>
      </c>
      <c r="H52" s="1">
        <f t="shared" si="14"/>
        <v>0</v>
      </c>
      <c r="I52" s="1">
        <f t="shared" si="14"/>
        <v>15358.055555555555</v>
      </c>
      <c r="J52" s="1" t="e">
        <f t="shared" si="14"/>
        <v>#DIV/0!</v>
      </c>
      <c r="K52" s="1">
        <f t="shared" si="14"/>
        <v>61.805555555555557</v>
      </c>
      <c r="L52" s="1"/>
    </row>
    <row r="53" spans="1:12" x14ac:dyDescent="0.25">
      <c r="A53" s="1" t="s">
        <v>39</v>
      </c>
      <c r="B53" s="1">
        <f>B21/B22*100</f>
        <v>33.099821334916598</v>
      </c>
      <c r="C53" s="1">
        <f t="shared" ref="C53:I53" si="15">C21/C22*100</f>
        <v>26.633295411429813</v>
      </c>
      <c r="D53" s="1">
        <f t="shared" si="15"/>
        <v>35.510676124141405</v>
      </c>
      <c r="E53" s="1">
        <f t="shared" si="15"/>
        <v>33.649772970725422</v>
      </c>
      <c r="F53" s="1">
        <f t="shared" si="15"/>
        <v>73.225806451612911</v>
      </c>
      <c r="G53" s="1">
        <f t="shared" si="15"/>
        <v>23.5</v>
      </c>
      <c r="H53" s="1">
        <f t="shared" si="15"/>
        <v>0</v>
      </c>
      <c r="I53" s="1">
        <f t="shared" si="15"/>
        <v>77.281571430406657</v>
      </c>
      <c r="J53" s="1">
        <f>J21/J22*100</f>
        <v>99.99001677381608</v>
      </c>
      <c r="K53" s="1">
        <f>K21/K22*100</f>
        <v>8.3333333333333321</v>
      </c>
      <c r="L53" s="1"/>
    </row>
    <row r="54" spans="1:12" x14ac:dyDescent="0.25">
      <c r="A54" s="1" t="s">
        <v>40</v>
      </c>
      <c r="B54" s="1">
        <f t="shared" ref="B54:K54" si="16">(B52+B53)/2</f>
        <v>5684.48023853631</v>
      </c>
      <c r="C54" s="1">
        <f t="shared" si="16"/>
        <v>25.035397705714907</v>
      </c>
      <c r="D54" s="1">
        <f t="shared" si="16"/>
        <v>41.192838062070706</v>
      </c>
      <c r="E54" s="1">
        <f t="shared" si="16"/>
        <v>40.262386485362711</v>
      </c>
      <c r="F54" s="1">
        <f t="shared" si="16"/>
        <v>60.050403225806456</v>
      </c>
      <c r="G54" s="1">
        <f t="shared" si="16"/>
        <v>35.1875</v>
      </c>
      <c r="H54" s="1">
        <f t="shared" si="16"/>
        <v>0</v>
      </c>
      <c r="I54" s="1">
        <f t="shared" si="16"/>
        <v>7717.6685634929809</v>
      </c>
      <c r="J54" s="1" t="e">
        <f t="shared" si="16"/>
        <v>#DIV/0!</v>
      </c>
      <c r="K54" s="1">
        <f t="shared" si="16"/>
        <v>35.069444444444443</v>
      </c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 t="s">
        <v>118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 t="s">
        <v>41</v>
      </c>
      <c r="B57" s="1">
        <f t="shared" ref="B57:I57" si="17">B23/B21*100</f>
        <v>0</v>
      </c>
      <c r="C57" s="1">
        <f t="shared" si="17"/>
        <v>0</v>
      </c>
      <c r="D57" s="1">
        <f t="shared" si="17"/>
        <v>0</v>
      </c>
      <c r="E57" s="1">
        <f>E23/E21*100</f>
        <v>0</v>
      </c>
      <c r="F57" s="1">
        <f>F23/F21*100</f>
        <v>0</v>
      </c>
      <c r="G57" s="1">
        <f t="shared" si="17"/>
        <v>0</v>
      </c>
      <c r="H57" s="1" t="e">
        <f>H23/H21*100</f>
        <v>#DIV/0!</v>
      </c>
      <c r="I57" s="1">
        <f t="shared" si="17"/>
        <v>0</v>
      </c>
      <c r="J57" s="1">
        <f>J23/J21*100</f>
        <v>0</v>
      </c>
      <c r="K57" s="1">
        <f>K23/K21*100</f>
        <v>0</v>
      </c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 t="s">
        <v>42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 t="s">
        <v>43</v>
      </c>
      <c r="B60" s="1">
        <f>((B14/B11)-1)*100</f>
        <v>230395.83333333334</v>
      </c>
      <c r="C60" s="1">
        <f t="shared" ref="C60:K60" si="18">((C14/C11)-1)*100</f>
        <v>25</v>
      </c>
      <c r="D60" s="1">
        <f t="shared" si="18"/>
        <v>25</v>
      </c>
      <c r="E60" s="1">
        <f t="shared" si="18"/>
        <v>25</v>
      </c>
      <c r="F60" s="1">
        <f t="shared" si="18"/>
        <v>25</v>
      </c>
      <c r="G60" s="1">
        <f>((G14/G11)-1)*100</f>
        <v>25</v>
      </c>
      <c r="H60" s="1" t="e">
        <f t="shared" si="18"/>
        <v>#DIV/0!</v>
      </c>
      <c r="I60" s="1" t="e">
        <f t="shared" si="18"/>
        <v>#DIV/0!</v>
      </c>
      <c r="J60" s="1" t="e">
        <f t="shared" si="18"/>
        <v>#DIV/0!</v>
      </c>
      <c r="K60" s="1" t="e">
        <f t="shared" si="18"/>
        <v>#DIV/0!</v>
      </c>
      <c r="L60" s="1"/>
    </row>
    <row r="61" spans="1:12" x14ac:dyDescent="0.25">
      <c r="A61" s="1" t="s">
        <v>44</v>
      </c>
      <c r="B61" s="1">
        <f>((B36/B35)-1)*100</f>
        <v>677.69411434285928</v>
      </c>
      <c r="C61" s="1">
        <f>((C36/C35)-1)*100</f>
        <v>445.86634168927566</v>
      </c>
      <c r="D61" s="1">
        <f t="shared" ref="D61:K61" si="19">((D36/D35)-1)*100</f>
        <v>445.86634168927566</v>
      </c>
      <c r="E61" s="1">
        <f t="shared" si="19"/>
        <v>226.34250918877621</v>
      </c>
      <c r="F61" s="1">
        <f t="shared" si="19"/>
        <v>468.02940441444434</v>
      </c>
      <c r="G61" s="1" t="e">
        <f t="shared" si="19"/>
        <v>#DIV/0!</v>
      </c>
      <c r="H61" s="1" t="e">
        <f t="shared" si="19"/>
        <v>#DIV/0!</v>
      </c>
      <c r="I61" s="1" t="e">
        <f t="shared" si="19"/>
        <v>#DIV/0!</v>
      </c>
      <c r="J61" s="1" t="e">
        <f t="shared" si="19"/>
        <v>#DIV/0!</v>
      </c>
      <c r="K61" s="1" t="e">
        <f t="shared" si="19"/>
        <v>#DIV/0!</v>
      </c>
      <c r="L61" s="1"/>
    </row>
    <row r="62" spans="1:12" x14ac:dyDescent="0.25">
      <c r="A62" s="1" t="s">
        <v>45</v>
      </c>
      <c r="B62" s="1">
        <f t="shared" ref="B62:K62" si="20">((B38/B37)-1)*100</f>
        <v>-99.662599491237572</v>
      </c>
      <c r="C62" s="1">
        <f t="shared" si="20"/>
        <v>336.69307335142048</v>
      </c>
      <c r="D62" s="1">
        <f t="shared" si="20"/>
        <v>336.69307335142048</v>
      </c>
      <c r="E62" s="1">
        <f t="shared" si="20"/>
        <v>161.07400735102098</v>
      </c>
      <c r="F62" s="1">
        <f t="shared" si="20"/>
        <v>354.42352353155542</v>
      </c>
      <c r="G62" s="1" t="e">
        <f t="shared" si="20"/>
        <v>#DIV/0!</v>
      </c>
      <c r="H62" s="1" t="e">
        <f t="shared" si="20"/>
        <v>#DIV/0!</v>
      </c>
      <c r="I62" s="1" t="e">
        <f t="shared" si="20"/>
        <v>#DIV/0!</v>
      </c>
      <c r="J62" s="1" t="e">
        <f t="shared" si="20"/>
        <v>#DIV/0!</v>
      </c>
      <c r="K62" s="1" t="e">
        <f t="shared" si="20"/>
        <v>#DIV/0!</v>
      </c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 t="s">
        <v>46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 t="s">
        <v>134</v>
      </c>
      <c r="B65" s="1">
        <f t="shared" ref="B65:K65" si="21">B20/B13</f>
        <v>133258.02161787366</v>
      </c>
      <c r="C65" s="1">
        <f t="shared" si="21"/>
        <v>515464.09743055556</v>
      </c>
      <c r="D65" s="1">
        <f t="shared" si="21"/>
        <v>818775.41708333325</v>
      </c>
      <c r="E65" s="1">
        <f t="shared" si="21"/>
        <v>397074.02805555554</v>
      </c>
      <c r="F65" s="1">
        <f t="shared" si="21"/>
        <v>161458.33333333334</v>
      </c>
      <c r="G65" s="1">
        <f t="shared" si="21"/>
        <v>260243.05569444443</v>
      </c>
      <c r="H65" s="1">
        <f t="shared" si="21"/>
        <v>212152.77777777778</v>
      </c>
      <c r="I65" s="1">
        <f t="shared" si="21"/>
        <v>24272.526732673268</v>
      </c>
      <c r="J65" s="1" t="e">
        <f t="shared" si="21"/>
        <v>#DIV/0!</v>
      </c>
      <c r="K65" s="1">
        <f t="shared" si="21"/>
        <v>6415.8415841584156</v>
      </c>
      <c r="L65" s="1"/>
    </row>
    <row r="66" spans="1:12" x14ac:dyDescent="0.25">
      <c r="A66" s="1" t="s">
        <v>135</v>
      </c>
      <c r="B66" s="1">
        <f t="shared" ref="B66:K66" si="22">B21/B14</f>
        <v>280.89768659954086</v>
      </c>
      <c r="C66" s="1">
        <f t="shared" si="22"/>
        <v>363562.20833333331</v>
      </c>
      <c r="D66" s="1">
        <f t="shared" si="22"/>
        <v>363562.20833333331</v>
      </c>
      <c r="E66" s="1">
        <f t="shared" si="22"/>
        <v>152145.54166666666</v>
      </c>
      <c r="F66" s="1">
        <f t="shared" si="22"/>
        <v>113500</v>
      </c>
      <c r="G66" s="1">
        <f t="shared" si="22"/>
        <v>97916.666666666672</v>
      </c>
      <c r="H66" s="1" t="e">
        <f t="shared" si="22"/>
        <v>#DIV/0!</v>
      </c>
      <c r="I66" s="1">
        <f t="shared" si="22"/>
        <v>83.780008229485063</v>
      </c>
      <c r="J66" s="1">
        <f t="shared" si="22"/>
        <v>81.871244313693438</v>
      </c>
      <c r="K66" s="1">
        <f t="shared" si="22"/>
        <v>556.17977528089887</v>
      </c>
      <c r="L66" s="1"/>
    </row>
    <row r="67" spans="1:12" x14ac:dyDescent="0.25">
      <c r="A67" s="1" t="s">
        <v>47</v>
      </c>
      <c r="B67" s="1">
        <f>(B65/B66)*B49</f>
        <v>4052185.5056422953</v>
      </c>
      <c r="C67" s="1">
        <f t="shared" ref="C67:K67" si="23">(C65/C66)*C49</f>
        <v>50.37115414360477</v>
      </c>
      <c r="D67" s="1">
        <f t="shared" si="23"/>
        <v>135.50381914427837</v>
      </c>
      <c r="E67" s="1">
        <f t="shared" si="23"/>
        <v>150.40959128833666</v>
      </c>
      <c r="F67" s="1">
        <f>(F65/F66)*F49</f>
        <v>100.93918257464516</v>
      </c>
      <c r="G67" s="1">
        <f t="shared" si="23"/>
        <v>152.40839249408984</v>
      </c>
      <c r="H67" s="1" t="e">
        <f t="shared" si="23"/>
        <v>#DIV/0!</v>
      </c>
      <c r="I67" s="1">
        <f t="shared" si="23"/>
        <v>3182866.2790130498</v>
      </c>
      <c r="J67" s="1" t="e">
        <f t="shared" si="23"/>
        <v>#DIV/0!</v>
      </c>
      <c r="K67" s="1">
        <f t="shared" si="23"/>
        <v>552.30904278546666</v>
      </c>
      <c r="L67" s="1"/>
    </row>
    <row r="68" spans="1:12" s="1" customFormat="1" x14ac:dyDescent="0.25">
      <c r="A68" s="1" t="s">
        <v>130</v>
      </c>
      <c r="B68" s="1">
        <f>B20/(B13*9)</f>
        <v>14806.446846430406</v>
      </c>
      <c r="C68" s="1">
        <f t="shared" ref="C68:K68" si="24">C20/(C13*9)</f>
        <v>57273.788603395064</v>
      </c>
      <c r="D68" s="1">
        <f t="shared" si="24"/>
        <v>90975.046342592585</v>
      </c>
      <c r="E68" s="1">
        <f t="shared" si="24"/>
        <v>44119.33645061728</v>
      </c>
      <c r="F68" s="1">
        <f t="shared" si="24"/>
        <v>17939.814814814814</v>
      </c>
      <c r="G68" s="1">
        <f t="shared" si="24"/>
        <v>28915.89507716049</v>
      </c>
      <c r="H68" s="1">
        <f t="shared" si="24"/>
        <v>23572.530864197532</v>
      </c>
      <c r="I68" s="1">
        <f t="shared" si="24"/>
        <v>2696.9474147414739</v>
      </c>
      <c r="J68" s="1" t="e">
        <f t="shared" si="24"/>
        <v>#DIV/0!</v>
      </c>
      <c r="K68" s="1">
        <f t="shared" si="24"/>
        <v>712.87128712871288</v>
      </c>
    </row>
    <row r="69" spans="1:12" s="1" customFormat="1" x14ac:dyDescent="0.25">
      <c r="A69" s="1" t="s">
        <v>131</v>
      </c>
      <c r="B69" s="1">
        <f>B21/(B14*9)</f>
        <v>31.210854066615649</v>
      </c>
      <c r="C69" s="1">
        <f t="shared" ref="C69:K69" si="25">C21/(C14*9)</f>
        <v>40395.800925925927</v>
      </c>
      <c r="D69" s="1">
        <f t="shared" si="25"/>
        <v>40395.800925925927</v>
      </c>
      <c r="E69" s="1">
        <f t="shared" si="25"/>
        <v>16905.060185185186</v>
      </c>
      <c r="F69" s="1">
        <f t="shared" si="25"/>
        <v>12611.111111111111</v>
      </c>
      <c r="G69" s="1">
        <f t="shared" si="25"/>
        <v>10879.62962962963</v>
      </c>
      <c r="H69" s="1" t="e">
        <f t="shared" si="25"/>
        <v>#DIV/0!</v>
      </c>
      <c r="I69" s="1">
        <f t="shared" si="25"/>
        <v>9.3088898032761183</v>
      </c>
      <c r="J69" s="1">
        <f t="shared" si="25"/>
        <v>9.0968049237437167</v>
      </c>
      <c r="K69" s="1">
        <f t="shared" si="25"/>
        <v>61.797752808988761</v>
      </c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 t="s">
        <v>48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 t="s">
        <v>49</v>
      </c>
      <c r="B72" s="1">
        <f>(B27/B26)*100</f>
        <v>62.018732859225459</v>
      </c>
      <c r="C72" s="1">
        <f>(C27/C26)*100</f>
        <v>56.728862034093794</v>
      </c>
      <c r="D72" s="1"/>
      <c r="E72" s="1"/>
      <c r="F72" s="1"/>
      <c r="G72" s="1"/>
      <c r="H72" s="1"/>
      <c r="I72" s="1">
        <f>(I27/I26)*100</f>
        <v>94.051880437533342</v>
      </c>
      <c r="J72" s="1"/>
      <c r="K72" s="1"/>
      <c r="L72" s="1"/>
    </row>
    <row r="73" spans="1:12" x14ac:dyDescent="0.25">
      <c r="A73" s="1" t="s">
        <v>50</v>
      </c>
      <c r="B73" s="1">
        <f>(B21/B27)*100</f>
        <v>57.941739882618783</v>
      </c>
      <c r="C73" s="1">
        <f>(C21/C27)*100</f>
        <v>51.804203121703416</v>
      </c>
      <c r="D73" s="1"/>
      <c r="E73" s="1"/>
      <c r="F73" s="1"/>
      <c r="G73" s="1"/>
      <c r="H73" s="1"/>
      <c r="I73" s="1">
        <f>(I21/I27)*100</f>
        <v>80.359139960434234</v>
      </c>
      <c r="J73" s="1"/>
      <c r="K73" s="1"/>
      <c r="L73" s="1"/>
    </row>
    <row r="74" spans="1:12" ht="15.75" thickBot="1" x14ac:dyDescent="0.3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1"/>
    </row>
    <row r="75" spans="1:12" ht="15.75" thickTop="1" x14ac:dyDescent="0.25">
      <c r="A75" s="16" t="s">
        <v>119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6" t="s">
        <v>120</v>
      </c>
    </row>
    <row r="77" spans="1:12" x14ac:dyDescent="0.25">
      <c r="A77" s="16" t="s">
        <v>121</v>
      </c>
    </row>
    <row r="78" spans="1:12" x14ac:dyDescent="0.25">
      <c r="A78" s="16" t="s">
        <v>122</v>
      </c>
    </row>
    <row r="79" spans="1:12" x14ac:dyDescent="0.25">
      <c r="A79" s="16" t="s">
        <v>123</v>
      </c>
    </row>
    <row r="80" spans="1:12" x14ac:dyDescent="0.25">
      <c r="A80" s="16" t="s">
        <v>126</v>
      </c>
    </row>
    <row r="82" spans="1:1" x14ac:dyDescent="0.25">
      <c r="A82" s="2" t="s">
        <v>124</v>
      </c>
    </row>
    <row r="83" spans="1:1" x14ac:dyDescent="0.25">
      <c r="A83" s="2" t="s">
        <v>125</v>
      </c>
    </row>
    <row r="84" spans="1:1" x14ac:dyDescent="0.25">
      <c r="A84" s="2" t="s">
        <v>127</v>
      </c>
    </row>
    <row r="85" spans="1:1" x14ac:dyDescent="0.25">
      <c r="A85" s="2" t="s">
        <v>141</v>
      </c>
    </row>
    <row r="86" spans="1:1" x14ac:dyDescent="0.25">
      <c r="A86" s="2" t="s">
        <v>142</v>
      </c>
    </row>
    <row r="87" spans="1:1" x14ac:dyDescent="0.25">
      <c r="A87" s="2" t="s">
        <v>143</v>
      </c>
    </row>
    <row r="88" spans="1:1" x14ac:dyDescent="0.25">
      <c r="A88" s="17" t="s">
        <v>144</v>
      </c>
    </row>
  </sheetData>
  <mergeCells count="11">
    <mergeCell ref="A2:K2"/>
    <mergeCell ref="A4:A6"/>
    <mergeCell ref="B4:B6"/>
    <mergeCell ref="C4:H4"/>
    <mergeCell ref="I4:K4"/>
    <mergeCell ref="C5:C6"/>
    <mergeCell ref="D5:G5"/>
    <mergeCell ref="H5:H6"/>
    <mergeCell ref="I5:I6"/>
    <mergeCell ref="J5:J6"/>
    <mergeCell ref="K5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8"/>
  <sheetViews>
    <sheetView topLeftCell="A58" zoomScale="80" zoomScaleNormal="80" workbookViewId="0">
      <selection activeCell="N72" sqref="N72"/>
    </sheetView>
  </sheetViews>
  <sheetFormatPr baseColWidth="10" defaultColWidth="11.42578125" defaultRowHeight="15" x14ac:dyDescent="0.25"/>
  <cols>
    <col min="1" max="1" width="50.85546875" style="2" customWidth="1"/>
    <col min="2" max="10" width="13.7109375" style="2" customWidth="1"/>
    <col min="11" max="11" width="14" style="2" customWidth="1"/>
    <col min="12" max="16384" width="11.42578125" style="2"/>
  </cols>
  <sheetData>
    <row r="2" spans="1:11" ht="15.75" x14ac:dyDescent="0.25">
      <c r="A2" s="24" t="s">
        <v>85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 x14ac:dyDescent="0.25">
      <c r="A4" s="25" t="s">
        <v>0</v>
      </c>
      <c r="B4" s="28" t="s">
        <v>1</v>
      </c>
      <c r="C4" s="31" t="s">
        <v>2</v>
      </c>
      <c r="D4" s="32"/>
      <c r="E4" s="32"/>
      <c r="F4" s="32"/>
      <c r="G4" s="32"/>
      <c r="H4" s="33"/>
      <c r="I4" s="31" t="s">
        <v>3</v>
      </c>
      <c r="J4" s="32"/>
      <c r="K4" s="33"/>
    </row>
    <row r="5" spans="1:11" ht="15" customHeight="1" x14ac:dyDescent="0.25">
      <c r="A5" s="26"/>
      <c r="B5" s="29"/>
      <c r="C5" s="34" t="s">
        <v>4</v>
      </c>
      <c r="D5" s="31" t="s">
        <v>5</v>
      </c>
      <c r="E5" s="32"/>
      <c r="F5" s="32"/>
      <c r="G5" s="33"/>
      <c r="H5" s="42" t="s">
        <v>6</v>
      </c>
      <c r="I5" s="36" t="s">
        <v>4</v>
      </c>
      <c r="J5" s="38" t="s">
        <v>7</v>
      </c>
      <c r="K5" s="40" t="s">
        <v>8</v>
      </c>
    </row>
    <row r="6" spans="1:11" ht="45.75" thickBot="1" x14ac:dyDescent="0.3">
      <c r="A6" s="27"/>
      <c r="B6" s="30"/>
      <c r="C6" s="35"/>
      <c r="D6" s="6" t="s">
        <v>4</v>
      </c>
      <c r="E6" s="7" t="s">
        <v>9</v>
      </c>
      <c r="F6" s="8" t="s">
        <v>10</v>
      </c>
      <c r="G6" s="9" t="s">
        <v>11</v>
      </c>
      <c r="H6" s="39"/>
      <c r="I6" s="37"/>
      <c r="J6" s="39"/>
      <c r="K6" s="41"/>
    </row>
    <row r="7" spans="1:11" ht="15.75" thickTop="1" x14ac:dyDescent="0.25"/>
    <row r="8" spans="1:11" x14ac:dyDescent="0.25">
      <c r="A8" s="10" t="s">
        <v>12</v>
      </c>
    </row>
    <row r="10" spans="1:11" x14ac:dyDescent="0.25">
      <c r="A10" s="2" t="s">
        <v>138</v>
      </c>
    </row>
    <row r="11" spans="1:11" x14ac:dyDescent="0.25">
      <c r="A11" s="11" t="s">
        <v>86</v>
      </c>
      <c r="B11" s="1">
        <f>C11+I11</f>
        <v>70.333333333333329</v>
      </c>
      <c r="C11" s="1">
        <f>D11+H11</f>
        <v>70.333333333333329</v>
      </c>
      <c r="D11" s="1">
        <f>E11</f>
        <v>70.333333333333329</v>
      </c>
      <c r="E11" s="1">
        <f>'I Trimestre'!E11+'II Trimestre'!E11+'III Trimestre'!E11+'IV Trimestre'!E11</f>
        <v>70.333333333333329</v>
      </c>
      <c r="F11" s="1">
        <f>'I Trimestre'!F11+'II Trimestre'!F11+'III Trimestre'!F11+'IV Trimestre'!F11</f>
        <v>70.333333333333329</v>
      </c>
      <c r="G11" s="1">
        <f>'I Trimestre'!G11+'II Trimestre'!G11+'III Trimestre'!G11+'IV Trimestre'!G11</f>
        <v>70.333333333333329</v>
      </c>
      <c r="H11" s="1">
        <f>'I Trimestre'!H11+'II Trimestre'!H11+'III Trimestre'!H11+'IV Trimestre'!H11</f>
        <v>0</v>
      </c>
      <c r="I11" s="1">
        <f>SUM(J11:K11)</f>
        <v>0</v>
      </c>
      <c r="J11" s="1">
        <f>'I Trimestre'!J11+'II Trimestre'!J11+'III Trimestre'!J11+'IV Trimestre'!J11</f>
        <v>0</v>
      </c>
      <c r="K11" s="1">
        <f>'I Trimestre'!K11+'II Trimestre'!K11+'III Trimestre'!K11+'IV Trimestre'!K11</f>
        <v>0</v>
      </c>
    </row>
    <row r="12" spans="1:11" x14ac:dyDescent="0.25">
      <c r="A12" s="12" t="s">
        <v>139</v>
      </c>
      <c r="B12" s="1">
        <f t="shared" ref="B12:B16" si="0">C12+I12</f>
        <v>113</v>
      </c>
      <c r="C12" s="1">
        <f t="shared" ref="C12:C16" si="1">D12+H12</f>
        <v>113</v>
      </c>
      <c r="D12" s="1">
        <f t="shared" ref="D12:D16" si="2">E12</f>
        <v>113</v>
      </c>
      <c r="E12" s="1">
        <f>113</f>
        <v>113</v>
      </c>
      <c r="F12" s="1">
        <f>113</f>
        <v>113</v>
      </c>
      <c r="G12" s="1">
        <f>113</f>
        <v>113</v>
      </c>
      <c r="H12" s="1">
        <v>0</v>
      </c>
      <c r="I12" s="1">
        <f t="shared" ref="I12:I16" si="3">SUM(J12:K12)</f>
        <v>0</v>
      </c>
      <c r="J12" s="1">
        <f>'I Trimestre'!J12+'II Trimestre'!J12+'III Trimestre'!J12+'IV Trimestre'!J12</f>
        <v>0</v>
      </c>
      <c r="K12" s="1">
        <f>'I Trimestre'!K12+'II Trimestre'!K12+'III Trimestre'!K12+'IV Trimestre'!K12</f>
        <v>0</v>
      </c>
    </row>
    <row r="13" spans="1:11" x14ac:dyDescent="0.25">
      <c r="A13" s="11" t="s">
        <v>87</v>
      </c>
      <c r="B13" s="1">
        <f t="shared" si="0"/>
        <v>697</v>
      </c>
      <c r="C13" s="1">
        <f t="shared" si="1"/>
        <v>192</v>
      </c>
      <c r="D13" s="1">
        <f t="shared" si="2"/>
        <v>96</v>
      </c>
      <c r="E13" s="2">
        <f>'I Trimestre'!E13+'II Trimestre'!E13+'III Trimestre'!E13+'IV Trimestre'!E13</f>
        <v>96</v>
      </c>
      <c r="F13" s="2">
        <f>'I Trimestre'!F13+'II Trimestre'!F13+'III Trimestre'!F13+'IV Trimestre'!F13</f>
        <v>96</v>
      </c>
      <c r="G13" s="2">
        <f>'I Trimestre'!G13+'II Trimestre'!G13+'III Trimestre'!G13+'IV Trimestre'!G13</f>
        <v>96</v>
      </c>
      <c r="H13" s="2">
        <f>'I Trimestre'!H13+'II Trimestre'!H13+'III Trimestre'!H13+'IV Trimestre'!H13</f>
        <v>96</v>
      </c>
      <c r="I13" s="1">
        <f t="shared" si="3"/>
        <v>505</v>
      </c>
      <c r="J13" s="1">
        <f>'I Trimestre'!J13+'II Trimestre'!J13+'III Trimestre'!J13+'IV Trimestre'!J13</f>
        <v>0</v>
      </c>
      <c r="K13" s="1">
        <f>'I Trimestre'!K13+'II Trimestre'!K13+'III Trimestre'!K13+'IV Trimestre'!K13</f>
        <v>505</v>
      </c>
    </row>
    <row r="14" spans="1:11" x14ac:dyDescent="0.25">
      <c r="A14" s="11" t="s">
        <v>88</v>
      </c>
      <c r="B14" s="1">
        <f t="shared" si="0"/>
        <v>187506</v>
      </c>
      <c r="C14" s="1">
        <f t="shared" si="1"/>
        <v>92</v>
      </c>
      <c r="D14" s="1">
        <f t="shared" si="2"/>
        <v>83</v>
      </c>
      <c r="E14" s="2">
        <f>'I Trimestre'!E14+'II Trimestre'!E14+'III Trimestre'!E14+'IV Trimestre'!E14</f>
        <v>83</v>
      </c>
      <c r="F14" s="2">
        <f>'I Trimestre'!F14+'II Trimestre'!F14+'III Trimestre'!F14+'IV Trimestre'!F14</f>
        <v>83</v>
      </c>
      <c r="G14" s="2">
        <f>'I Trimestre'!G14+'II Trimestre'!G14+'III Trimestre'!G14+'IV Trimestre'!G14</f>
        <v>83</v>
      </c>
      <c r="H14" s="2">
        <f>'I Trimestre'!H14+'II Trimestre'!H14+'III Trimestre'!H14+'IV Trimestre'!H14</f>
        <v>9</v>
      </c>
      <c r="I14" s="1">
        <f t="shared" si="3"/>
        <v>187414</v>
      </c>
      <c r="J14" s="1">
        <f>'I Trimestre'!J14+'II Trimestre'!J14+'III Trimestre'!J14+'IV Trimestre'!J14</f>
        <v>186519</v>
      </c>
      <c r="K14" s="1">
        <f>'I Trimestre'!K14+'II Trimestre'!K14+'III Trimestre'!K14+'IV Trimestre'!K14</f>
        <v>895</v>
      </c>
    </row>
    <row r="15" spans="1:11" x14ac:dyDescent="0.25">
      <c r="A15" s="12" t="s">
        <v>139</v>
      </c>
      <c r="B15" s="1">
        <f t="shared" si="0"/>
        <v>187580</v>
      </c>
      <c r="C15" s="1">
        <f t="shared" si="1"/>
        <v>166</v>
      </c>
      <c r="D15" s="1">
        <f t="shared" si="2"/>
        <v>157</v>
      </c>
      <c r="E15" s="2">
        <f>157</f>
        <v>157</v>
      </c>
      <c r="F15" s="2">
        <f>157</f>
        <v>157</v>
      </c>
      <c r="G15" s="2">
        <f>157</f>
        <v>157</v>
      </c>
      <c r="H15" s="2">
        <v>9</v>
      </c>
      <c r="I15" s="1">
        <f t="shared" si="3"/>
        <v>187414</v>
      </c>
      <c r="J15" s="1">
        <f>'I Trimestre'!J15+'II Trimestre'!J15+'III Trimestre'!J15+'IV Trimestre'!J15</f>
        <v>186519</v>
      </c>
      <c r="K15" s="1">
        <f>'I Trimestre'!K15+'II Trimestre'!K15+'III Trimestre'!K15+'IV Trimestre'!K15</f>
        <v>895</v>
      </c>
    </row>
    <row r="16" spans="1:11" x14ac:dyDescent="0.25">
      <c r="A16" s="11" t="s">
        <v>16</v>
      </c>
      <c r="B16" s="1">
        <f t="shared" si="0"/>
        <v>2140</v>
      </c>
      <c r="C16" s="1">
        <f t="shared" si="1"/>
        <v>192</v>
      </c>
      <c r="D16" s="1">
        <f t="shared" si="2"/>
        <v>96</v>
      </c>
      <c r="E16" s="2">
        <f>24*4</f>
        <v>96</v>
      </c>
      <c r="F16" s="2">
        <f>24*4</f>
        <v>96</v>
      </c>
      <c r="G16" s="2">
        <f>24*4</f>
        <v>96</v>
      </c>
      <c r="H16" s="2">
        <f>24*4</f>
        <v>96</v>
      </c>
      <c r="I16" s="1">
        <f t="shared" si="3"/>
        <v>1948</v>
      </c>
      <c r="J16" s="1">
        <f>'I Trimestre'!J16+'II Trimestre'!J16+'III Trimestre'!J16+'IV Trimestre'!J16</f>
        <v>0</v>
      </c>
      <c r="K16" s="1">
        <f>'I Trimestre'!K16+'II Trimestre'!K16+'III Trimestre'!K16+'IV Trimestre'!K16</f>
        <v>1948</v>
      </c>
    </row>
    <row r="17" spans="1:13" x14ac:dyDescent="0.25">
      <c r="I17" s="1"/>
    </row>
    <row r="18" spans="1:13" x14ac:dyDescent="0.25">
      <c r="A18" s="13" t="s">
        <v>17</v>
      </c>
      <c r="I18" s="1"/>
    </row>
    <row r="19" spans="1:13" x14ac:dyDescent="0.25">
      <c r="A19" s="11" t="s">
        <v>86</v>
      </c>
      <c r="B19" s="1">
        <f>C19+I19</f>
        <v>4835557.7</v>
      </c>
      <c r="C19" s="1">
        <f>D19+H19</f>
        <v>4835557.7</v>
      </c>
      <c r="D19" s="1">
        <f>SUM(E19:G19)</f>
        <v>4835557.7</v>
      </c>
      <c r="E19" s="1">
        <f>'I Trimestre'!E19+'II Trimestre'!E19+'III Trimestre'!E19+'IV Trimestre'!E19</f>
        <v>3384852.4000000004</v>
      </c>
      <c r="F19" s="1">
        <f>'I Trimestre'!F19+'II Trimestre'!F19+'III Trimestre'!F19+'IV Trimestre'!F19</f>
        <v>1450705.2999999998</v>
      </c>
      <c r="G19" s="1">
        <f>'I Trimestre'!G19+'II Trimestre'!G19+'III Trimestre'!G19+'IV Trimestre'!G19</f>
        <v>0</v>
      </c>
      <c r="H19" s="1">
        <f>'I Trimestre'!H19+'II Trimestre'!H19+'III Trimestre'!H19+'IV Trimestre'!H19</f>
        <v>0</v>
      </c>
      <c r="I19" s="1">
        <f>SUM(J19:K19)</f>
        <v>0</v>
      </c>
      <c r="J19" s="1">
        <f>'I Trimestre'!J19+'II Trimestre'!J19+'III Trimestre'!J19+'IV Trimestre'!J19</f>
        <v>0</v>
      </c>
      <c r="K19" s="1">
        <f>'I Trimestre'!K19+'II Trimestre'!K19+'III Trimestre'!K19+'IV Trimestre'!K19</f>
        <v>0</v>
      </c>
    </row>
    <row r="20" spans="1:13" x14ac:dyDescent="0.25">
      <c r="A20" s="11" t="s">
        <v>87</v>
      </c>
      <c r="B20" s="2">
        <f>C20+I20</f>
        <v>102031429.03</v>
      </c>
      <c r="C20" s="2">
        <f>D20+H20</f>
        <v>89773803.030000001</v>
      </c>
      <c r="D20" s="2">
        <f>SUM(E20:G20)</f>
        <v>69801470.030000001</v>
      </c>
      <c r="E20" s="2">
        <f>'I Trimestre'!E20+'II Trimestre'!E20+'III Trimestre'!E20+'IV Trimestre'!E20</f>
        <v>33448970.02</v>
      </c>
      <c r="F20" s="2">
        <f>'I Trimestre'!F20+'II Trimestre'!F20+'III Trimestre'!F20+'IV Trimestre'!F20</f>
        <v>11625000</v>
      </c>
      <c r="G20" s="2">
        <f>'I Trimestre'!G20+'II Trimestre'!G20+'III Trimestre'!G20+'IV Trimestre'!G20</f>
        <v>24727500.009999998</v>
      </c>
      <c r="H20" s="2">
        <f>'I Trimestre'!H20+'II Trimestre'!H20+'III Trimestre'!H20+'IV Trimestre'!H20</f>
        <v>19972333</v>
      </c>
      <c r="I20" s="1">
        <f t="shared" ref="I20:I22" si="4">SUM(J20:K20)</f>
        <v>12257626</v>
      </c>
      <c r="J20" s="2">
        <f>'I Trimestre'!J20+'II Trimestre'!J20+'III Trimestre'!J20+'IV Trimestre'!J20</f>
        <v>9017626</v>
      </c>
      <c r="K20" s="2">
        <f>'I Trimestre'!K20+'II Trimestre'!K20+'III Trimestre'!K20+'IV Trimestre'!K20</f>
        <v>3240000</v>
      </c>
    </row>
    <row r="21" spans="1:13" x14ac:dyDescent="0.25">
      <c r="A21" s="11" t="s">
        <v>88</v>
      </c>
      <c r="B21" s="2">
        <f>C21+I21</f>
        <v>59739726.010000005</v>
      </c>
      <c r="C21" s="2">
        <f>D21+H21</f>
        <v>43243685.810000002</v>
      </c>
      <c r="D21" s="2">
        <f>SUM(E21:G21)</f>
        <v>43014115.810000002</v>
      </c>
      <c r="E21" s="1">
        <f>'I Trimestre'!E21+'II Trimestre'!E21+'III Trimestre'!E21+'IV Trimestre'!E21</f>
        <v>22213649.559999999</v>
      </c>
      <c r="F21" s="1">
        <f>'I Trimestre'!F21+'II Trimestre'!F21+'III Trimestre'!F21+'IV Trimestre'!F21</f>
        <v>7025466.25</v>
      </c>
      <c r="G21" s="1">
        <f>'I Trimestre'!G21+'II Trimestre'!G21+'III Trimestre'!G21+'IV Trimestre'!G21</f>
        <v>13775000</v>
      </c>
      <c r="H21" s="1">
        <f>'I Trimestre'!H21+'II Trimestre'!H21+'III Trimestre'!H21+'IV Trimestre'!H21</f>
        <v>229570</v>
      </c>
      <c r="I21" s="1">
        <f>SUM(J21:K21)</f>
        <v>16496040.199999999</v>
      </c>
      <c r="J21" s="1">
        <f>'I Trimestre'!J21+'II Trimestre'!J21+'III Trimestre'!J21+'IV Trimestre'!J21</f>
        <v>13596640.199999999</v>
      </c>
      <c r="K21" s="1">
        <f>'I Trimestre'!K21+'II Trimestre'!K21+'III Trimestre'!K21+'IV Trimestre'!K21</f>
        <v>2899400</v>
      </c>
      <c r="M21" s="1"/>
    </row>
    <row r="22" spans="1:13" x14ac:dyDescent="0.25">
      <c r="A22" s="11" t="s">
        <v>16</v>
      </c>
      <c r="B22" s="2">
        <f>C22+I22</f>
        <v>79377519</v>
      </c>
      <c r="C22" s="2">
        <f>D22+H22</f>
        <v>67389893</v>
      </c>
      <c r="D22" s="2">
        <f>SUM(E22:G22)</f>
        <v>50238560</v>
      </c>
      <c r="E22" s="2">
        <f>'IV Trimestre'!E22</f>
        <v>25135366</v>
      </c>
      <c r="F22" s="2">
        <f>'IV Trimestre'!F22</f>
        <v>4103194</v>
      </c>
      <c r="G22" s="2">
        <f>'IV Trimestre'!G22</f>
        <v>21000000</v>
      </c>
      <c r="H22" s="2">
        <f>'IV Trimestre'!H22</f>
        <v>17151333</v>
      </c>
      <c r="I22" s="1">
        <f t="shared" si="4"/>
        <v>11987626</v>
      </c>
      <c r="J22" s="2">
        <f>'IV Trimestre'!J22</f>
        <v>9017626</v>
      </c>
      <c r="K22" s="2">
        <f>'IV Trimestre'!K22</f>
        <v>2970000</v>
      </c>
    </row>
    <row r="23" spans="1:13" x14ac:dyDescent="0.25">
      <c r="A23" s="44" t="s">
        <v>89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3" x14ac:dyDescent="0.25">
      <c r="A25" s="43" t="s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3" x14ac:dyDescent="0.25">
      <c r="A26" s="44" t="s">
        <v>87</v>
      </c>
      <c r="B26" s="1">
        <f>B20</f>
        <v>102031429.03</v>
      </c>
      <c r="C26" s="1">
        <f>C20</f>
        <v>89773803.030000001</v>
      </c>
      <c r="D26" s="1"/>
      <c r="E26" s="1"/>
      <c r="F26" s="1"/>
      <c r="G26" s="1"/>
      <c r="H26" s="1"/>
      <c r="I26" s="1">
        <f>I20</f>
        <v>12257626</v>
      </c>
      <c r="J26" s="1"/>
      <c r="K26" s="1"/>
    </row>
    <row r="27" spans="1:13" x14ac:dyDescent="0.25">
      <c r="A27" s="44" t="s">
        <v>88</v>
      </c>
      <c r="B27" s="1">
        <f>+'I Trimestre'!B27+'II Trimestre'!B27+'III Trimestre'!B27+'IV Trimestre'!B27</f>
        <v>62767086.75</v>
      </c>
      <c r="C27" s="1">
        <f>+'I Trimestre'!C27+'II Trimestre'!C27+'III Trimestre'!C27+'IV Trimestre'!C27</f>
        <v>51238559</v>
      </c>
      <c r="D27" s="1"/>
      <c r="E27" s="1"/>
      <c r="F27" s="1"/>
      <c r="G27" s="1"/>
      <c r="H27" s="1"/>
      <c r="I27" s="1">
        <f>+'I Trimestre'!I27+'II Trimestre'!I27+'III Trimestre'!I27+'IV Trimestre'!I27</f>
        <v>11528527.75</v>
      </c>
      <c r="J27" s="1"/>
      <c r="K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3" x14ac:dyDescent="0.25">
      <c r="A29" s="1" t="s">
        <v>20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3" x14ac:dyDescent="0.25">
      <c r="A30" s="44" t="s">
        <v>90</v>
      </c>
      <c r="B30" s="45">
        <v>1.4000333333333332</v>
      </c>
      <c r="C30" s="45">
        <v>1.4000333333333332</v>
      </c>
      <c r="D30" s="45">
        <v>1.4000333333333332</v>
      </c>
      <c r="E30" s="45">
        <v>1.4000333333333332</v>
      </c>
      <c r="F30" s="45">
        <v>1.4000333333333332</v>
      </c>
      <c r="G30" s="45">
        <v>1.4000333333333332</v>
      </c>
      <c r="H30" s="45">
        <v>1.4000333333333332</v>
      </c>
      <c r="I30" s="45">
        <v>1.4000333333333332</v>
      </c>
      <c r="J30" s="45">
        <v>1.4000333333333332</v>
      </c>
      <c r="K30" s="45">
        <v>1.4000333333333332</v>
      </c>
    </row>
    <row r="31" spans="1:13" x14ac:dyDescent="0.25">
      <c r="A31" s="44" t="s">
        <v>91</v>
      </c>
      <c r="B31" s="45">
        <v>1.4683333333333335</v>
      </c>
      <c r="C31" s="45">
        <v>1.4683333333333335</v>
      </c>
      <c r="D31" s="45">
        <v>1.4683333333333335</v>
      </c>
      <c r="E31" s="45">
        <v>1.4683333333333335</v>
      </c>
      <c r="F31" s="45">
        <v>1.4683333333333335</v>
      </c>
      <c r="G31" s="45">
        <v>1.4683333333333335</v>
      </c>
      <c r="H31" s="45">
        <v>1.4683333333333335</v>
      </c>
      <c r="I31" s="45">
        <v>1.4683333333333335</v>
      </c>
      <c r="J31" s="45">
        <v>1.4683333333333335</v>
      </c>
      <c r="K31" s="45">
        <v>1.4683333333333335</v>
      </c>
    </row>
    <row r="32" spans="1:13" x14ac:dyDescent="0.25">
      <c r="A32" s="44" t="s">
        <v>23</v>
      </c>
      <c r="B32" s="1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48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 t="s">
        <v>92</v>
      </c>
      <c r="B35" s="1">
        <f>B19/B30</f>
        <v>3453887.5502964221</v>
      </c>
      <c r="C35" s="1">
        <f t="shared" ref="C35:K35" si="5">C19/C30</f>
        <v>3453887.5502964221</v>
      </c>
      <c r="D35" s="1">
        <f>D19/D30</f>
        <v>3453887.5502964221</v>
      </c>
      <c r="E35" s="1">
        <f t="shared" si="5"/>
        <v>2417694.1501392829</v>
      </c>
      <c r="F35" s="1">
        <f t="shared" si="5"/>
        <v>1036193.4001571391</v>
      </c>
      <c r="G35" s="1">
        <f t="shared" si="5"/>
        <v>0</v>
      </c>
      <c r="H35" s="1">
        <f t="shared" si="5"/>
        <v>0</v>
      </c>
      <c r="I35" s="1">
        <f t="shared" si="5"/>
        <v>0</v>
      </c>
      <c r="J35" s="1">
        <f t="shared" si="5"/>
        <v>0</v>
      </c>
      <c r="K35" s="1">
        <f t="shared" si="5"/>
        <v>0</v>
      </c>
    </row>
    <row r="36" spans="1:11" x14ac:dyDescent="0.25">
      <c r="A36" s="1" t="s">
        <v>93</v>
      </c>
      <c r="B36" s="1">
        <f t="shared" ref="B36:I36" si="6">B21/B31</f>
        <v>40685397.963677637</v>
      </c>
      <c r="C36" s="1">
        <f t="shared" si="6"/>
        <v>29450864.34279228</v>
      </c>
      <c r="D36" s="1">
        <f t="shared" si="6"/>
        <v>29294517.010215662</v>
      </c>
      <c r="E36" s="1">
        <f t="shared" si="6"/>
        <v>15128478.701475594</v>
      </c>
      <c r="F36" s="1">
        <f t="shared" si="6"/>
        <v>4784653.5187287172</v>
      </c>
      <c r="G36" s="1">
        <f>G21/G31</f>
        <v>9381384.7900113501</v>
      </c>
      <c r="H36" s="1">
        <f t="shared" si="6"/>
        <v>156347.33257661745</v>
      </c>
      <c r="I36" s="1">
        <f t="shared" si="6"/>
        <v>11234533.620885355</v>
      </c>
      <c r="J36" s="1">
        <f>J21/J31</f>
        <v>9259913.870601587</v>
      </c>
      <c r="K36" s="1">
        <f>K21/K31</f>
        <v>1974619.7502837682</v>
      </c>
    </row>
    <row r="37" spans="1:11" x14ac:dyDescent="0.25">
      <c r="A37" s="1" t="s">
        <v>94</v>
      </c>
      <c r="B37" s="1">
        <f t="shared" ref="B37:K37" si="7">B35/B11</f>
        <v>49107.405928385153</v>
      </c>
      <c r="C37" s="1">
        <f t="shared" si="7"/>
        <v>49107.405928385153</v>
      </c>
      <c r="D37" s="1">
        <f t="shared" si="7"/>
        <v>49107.405928385153</v>
      </c>
      <c r="E37" s="1">
        <f t="shared" si="7"/>
        <v>34374.798343212555</v>
      </c>
      <c r="F37" s="1">
        <f t="shared" si="7"/>
        <v>14732.607585172595</v>
      </c>
      <c r="G37" s="1">
        <f t="shared" si="7"/>
        <v>0</v>
      </c>
      <c r="H37" s="1" t="e">
        <f t="shared" si="7"/>
        <v>#DIV/0!</v>
      </c>
      <c r="I37" s="1" t="e">
        <f t="shared" si="7"/>
        <v>#DIV/0!</v>
      </c>
      <c r="J37" s="1" t="e">
        <f t="shared" si="7"/>
        <v>#DIV/0!</v>
      </c>
      <c r="K37" s="1" t="e">
        <f t="shared" si="7"/>
        <v>#DIV/0!</v>
      </c>
    </row>
    <row r="38" spans="1:11" x14ac:dyDescent="0.25">
      <c r="A38" s="1" t="s">
        <v>95</v>
      </c>
      <c r="B38" s="1">
        <f t="shared" ref="B38:K38" si="8">B36/B14</f>
        <v>216.98184572055101</v>
      </c>
      <c r="C38" s="1">
        <f t="shared" si="8"/>
        <v>320118.09068252478</v>
      </c>
      <c r="D38" s="1">
        <f t="shared" si="8"/>
        <v>352945.98807488749</v>
      </c>
      <c r="E38" s="1">
        <f t="shared" si="8"/>
        <v>182270.8277286216</v>
      </c>
      <c r="F38" s="1">
        <f t="shared" si="8"/>
        <v>57646.427936490567</v>
      </c>
      <c r="G38" s="1">
        <f t="shared" si="8"/>
        <v>113028.7324097753</v>
      </c>
      <c r="H38" s="1">
        <f t="shared" si="8"/>
        <v>17371.925841846383</v>
      </c>
      <c r="I38" s="1">
        <f t="shared" si="8"/>
        <v>59.945007421459202</v>
      </c>
      <c r="J38" s="1">
        <f t="shared" si="8"/>
        <v>49.645954946153402</v>
      </c>
      <c r="K38" s="1">
        <f t="shared" si="8"/>
        <v>2206.279050596389</v>
      </c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48" t="s">
        <v>29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 t="s">
        <v>31</v>
      </c>
      <c r="B43" s="1"/>
      <c r="C43" s="1" t="e">
        <f>(C13/C32)*100</f>
        <v>#DIV/0!</v>
      </c>
      <c r="D43" s="1" t="e">
        <f t="shared" ref="D43:K43" si="9">(D13/D32)*100</f>
        <v>#DIV/0!</v>
      </c>
      <c r="E43" s="1" t="e">
        <f t="shared" si="9"/>
        <v>#DIV/0!</v>
      </c>
      <c r="F43" s="1" t="e">
        <f t="shared" si="9"/>
        <v>#DIV/0!</v>
      </c>
      <c r="G43" s="1" t="e">
        <f t="shared" si="9"/>
        <v>#DIV/0!</v>
      </c>
      <c r="H43" s="1" t="e">
        <f t="shared" si="9"/>
        <v>#DIV/0!</v>
      </c>
      <c r="I43" s="1" t="e">
        <f t="shared" si="9"/>
        <v>#DIV/0!</v>
      </c>
      <c r="J43" s="1" t="e">
        <f t="shared" si="9"/>
        <v>#DIV/0!</v>
      </c>
      <c r="K43" s="1" t="e">
        <f t="shared" si="9"/>
        <v>#DIV/0!</v>
      </c>
    </row>
    <row r="44" spans="1:11" x14ac:dyDescent="0.25">
      <c r="A44" s="1" t="s">
        <v>32</v>
      </c>
      <c r="B44" s="1"/>
      <c r="C44" s="1" t="e">
        <f>(C15/C32)*100</f>
        <v>#DIV/0!</v>
      </c>
      <c r="D44" s="1" t="e">
        <f t="shared" ref="D44:K44" si="10">(D15/D32)*100</f>
        <v>#DIV/0!</v>
      </c>
      <c r="E44" s="1" t="e">
        <f t="shared" si="10"/>
        <v>#DIV/0!</v>
      </c>
      <c r="F44" s="1" t="e">
        <f t="shared" si="10"/>
        <v>#DIV/0!</v>
      </c>
      <c r="G44" s="1" t="e">
        <f t="shared" si="10"/>
        <v>#DIV/0!</v>
      </c>
      <c r="H44" s="1" t="e">
        <f t="shared" si="10"/>
        <v>#DIV/0!</v>
      </c>
      <c r="I44" s="1" t="e">
        <f t="shared" si="10"/>
        <v>#DIV/0!</v>
      </c>
      <c r="J44" s="1" t="e">
        <f t="shared" si="10"/>
        <v>#DIV/0!</v>
      </c>
      <c r="K44" s="1" t="e">
        <f t="shared" si="10"/>
        <v>#DIV/0!</v>
      </c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 t="s">
        <v>33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 t="s">
        <v>34</v>
      </c>
      <c r="B47" s="1">
        <f>B14/B13*100</f>
        <v>26901.86513629842</v>
      </c>
      <c r="C47" s="1">
        <f t="shared" ref="C47:K47" si="11">C14/C13*100</f>
        <v>47.916666666666671</v>
      </c>
      <c r="D47" s="1">
        <f t="shared" si="11"/>
        <v>86.458333333333343</v>
      </c>
      <c r="E47" s="1">
        <f t="shared" si="11"/>
        <v>86.458333333333343</v>
      </c>
      <c r="F47" s="1">
        <f t="shared" si="11"/>
        <v>86.458333333333343</v>
      </c>
      <c r="G47" s="1">
        <f t="shared" si="11"/>
        <v>86.458333333333343</v>
      </c>
      <c r="H47" s="1">
        <f t="shared" si="11"/>
        <v>9.375</v>
      </c>
      <c r="I47" s="1">
        <f t="shared" si="11"/>
        <v>37111.683168316828</v>
      </c>
      <c r="J47" s="1" t="e">
        <f t="shared" si="11"/>
        <v>#DIV/0!</v>
      </c>
      <c r="K47" s="1">
        <f t="shared" si="11"/>
        <v>177.22772277227722</v>
      </c>
    </row>
    <row r="48" spans="1:11" x14ac:dyDescent="0.25">
      <c r="A48" s="1" t="s">
        <v>35</v>
      </c>
      <c r="B48" s="1">
        <f>B21/B20*100</f>
        <v>58.550317855917619</v>
      </c>
      <c r="C48" s="1">
        <f t="shared" ref="C48:I48" si="12">C21/C20*100</f>
        <v>48.169604439670586</v>
      </c>
      <c r="D48" s="1">
        <f t="shared" si="12"/>
        <v>61.623509922517314</v>
      </c>
      <c r="E48" s="1">
        <f t="shared" si="12"/>
        <v>66.41056375343662</v>
      </c>
      <c r="F48" s="1">
        <f t="shared" si="12"/>
        <v>60.434118279569894</v>
      </c>
      <c r="G48" s="1">
        <f t="shared" si="12"/>
        <v>55.707208550922175</v>
      </c>
      <c r="H48" s="1">
        <f t="shared" si="12"/>
        <v>1.149440077931807</v>
      </c>
      <c r="I48" s="1">
        <f t="shared" si="12"/>
        <v>134.57777386909993</v>
      </c>
      <c r="J48" s="1">
        <f>J21/J20*100</f>
        <v>150.77848870645113</v>
      </c>
      <c r="K48" s="1">
        <f>K21/K20*100</f>
        <v>89.487654320987659</v>
      </c>
    </row>
    <row r="49" spans="1:11" x14ac:dyDescent="0.25">
      <c r="A49" s="1" t="s">
        <v>36</v>
      </c>
      <c r="B49" s="1">
        <f t="shared" ref="B49:K49" si="13">AVERAGE(B47:B48)</f>
        <v>13480.20772707717</v>
      </c>
      <c r="C49" s="1">
        <f t="shared" si="13"/>
        <v>48.043135553168625</v>
      </c>
      <c r="D49" s="1">
        <f t="shared" si="13"/>
        <v>74.040921627925329</v>
      </c>
      <c r="E49" s="1">
        <f t="shared" si="13"/>
        <v>76.434448543384974</v>
      </c>
      <c r="F49" s="1">
        <f t="shared" si="13"/>
        <v>73.446225806451622</v>
      </c>
      <c r="G49" s="1">
        <f t="shared" si="13"/>
        <v>71.082770942127752</v>
      </c>
      <c r="H49" s="1">
        <f t="shared" si="13"/>
        <v>5.2622200389659035</v>
      </c>
      <c r="I49" s="1">
        <f t="shared" si="13"/>
        <v>18623.130471092965</v>
      </c>
      <c r="J49" s="1" t="e">
        <f t="shared" si="13"/>
        <v>#DIV/0!</v>
      </c>
      <c r="K49" s="1">
        <f t="shared" si="13"/>
        <v>133.35768854663243</v>
      </c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 t="s">
        <v>37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 t="s">
        <v>38</v>
      </c>
      <c r="B52" s="1">
        <f>(B14/B16)*100</f>
        <v>8761.9626168224295</v>
      </c>
      <c r="C52" s="1">
        <f t="shared" ref="C52:K52" si="14">(C14/C16)*100</f>
        <v>47.916666666666671</v>
      </c>
      <c r="D52" s="1">
        <f t="shared" si="14"/>
        <v>86.458333333333343</v>
      </c>
      <c r="E52" s="1">
        <f t="shared" si="14"/>
        <v>86.458333333333343</v>
      </c>
      <c r="F52" s="1">
        <f t="shared" si="14"/>
        <v>86.458333333333343</v>
      </c>
      <c r="G52" s="1">
        <f t="shared" si="14"/>
        <v>86.458333333333343</v>
      </c>
      <c r="H52" s="1">
        <f t="shared" si="14"/>
        <v>9.375</v>
      </c>
      <c r="I52" s="1">
        <f t="shared" si="14"/>
        <v>9620.8418891170422</v>
      </c>
      <c r="J52" s="1" t="e">
        <f t="shared" si="14"/>
        <v>#DIV/0!</v>
      </c>
      <c r="K52" s="1">
        <f t="shared" si="14"/>
        <v>45.944558521560573</v>
      </c>
    </row>
    <row r="53" spans="1:11" x14ac:dyDescent="0.25">
      <c r="A53" s="1" t="s">
        <v>39</v>
      </c>
      <c r="B53" s="1">
        <f>B21/B22*100</f>
        <v>75.260258524834981</v>
      </c>
      <c r="C53" s="1">
        <f t="shared" ref="C53:I53" si="15">C21/C22*100</f>
        <v>64.16939378431718</v>
      </c>
      <c r="D53" s="1">
        <f t="shared" si="15"/>
        <v>85.61972279858341</v>
      </c>
      <c r="E53" s="1">
        <f t="shared" si="15"/>
        <v>88.376073616751782</v>
      </c>
      <c r="F53" s="1">
        <f t="shared" si="15"/>
        <v>171.21945123725567</v>
      </c>
      <c r="G53" s="1">
        <f t="shared" si="15"/>
        <v>65.595238095238102</v>
      </c>
      <c r="H53" s="1">
        <f t="shared" si="15"/>
        <v>1.3384965471779948</v>
      </c>
      <c r="I53" s="1">
        <f t="shared" si="15"/>
        <v>137.60889937674062</v>
      </c>
      <c r="J53" s="1">
        <f>J21/J22*100</f>
        <v>150.77848870645113</v>
      </c>
      <c r="K53" s="1">
        <f>K21/K22*100</f>
        <v>97.622895622895626</v>
      </c>
    </row>
    <row r="54" spans="1:11" x14ac:dyDescent="0.25">
      <c r="A54" s="1" t="s">
        <v>40</v>
      </c>
      <c r="B54" s="1">
        <f t="shared" ref="B54:K54" si="16">(B52+B53)/2</f>
        <v>4418.6114376736323</v>
      </c>
      <c r="C54" s="1">
        <f t="shared" si="16"/>
        <v>56.043030225491925</v>
      </c>
      <c r="D54" s="1">
        <f t="shared" si="16"/>
        <v>86.039028065958377</v>
      </c>
      <c r="E54" s="1">
        <f t="shared" si="16"/>
        <v>87.417203475042555</v>
      </c>
      <c r="F54" s="1">
        <f t="shared" si="16"/>
        <v>128.83889228529449</v>
      </c>
      <c r="G54" s="1">
        <f t="shared" si="16"/>
        <v>76.026785714285722</v>
      </c>
      <c r="H54" s="1">
        <f t="shared" si="16"/>
        <v>5.3567482735889973</v>
      </c>
      <c r="I54" s="1">
        <f t="shared" si="16"/>
        <v>4879.2253942468915</v>
      </c>
      <c r="J54" s="1" t="e">
        <f t="shared" si="16"/>
        <v>#DIV/0!</v>
      </c>
      <c r="K54" s="1">
        <f t="shared" si="16"/>
        <v>71.783727072228103</v>
      </c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 t="s">
        <v>118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 t="s">
        <v>41</v>
      </c>
      <c r="B57" s="1">
        <f t="shared" ref="B57:I57" si="17">B23/B21*100</f>
        <v>0</v>
      </c>
      <c r="C57" s="1">
        <f t="shared" si="17"/>
        <v>0</v>
      </c>
      <c r="D57" s="1">
        <f t="shared" si="17"/>
        <v>0</v>
      </c>
      <c r="E57" s="1">
        <f>E23/E21*100</f>
        <v>0</v>
      </c>
      <c r="F57" s="1">
        <f>F23/F21*100</f>
        <v>0</v>
      </c>
      <c r="G57" s="1">
        <f t="shared" si="17"/>
        <v>0</v>
      </c>
      <c r="H57" s="1">
        <f>H23/H21*100</f>
        <v>0</v>
      </c>
      <c r="I57" s="1">
        <f t="shared" si="17"/>
        <v>0</v>
      </c>
      <c r="J57" s="1">
        <f>J23/J21*100</f>
        <v>0</v>
      </c>
      <c r="K57" s="1">
        <f>K23/K21*100</f>
        <v>0</v>
      </c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 t="s">
        <v>42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 t="s">
        <v>43</v>
      </c>
      <c r="B60" s="1">
        <f>((B14/B11)-1)*100</f>
        <v>266496.20853080571</v>
      </c>
      <c r="C60" s="1">
        <f t="shared" ref="C60:K60" si="18">((C14/C11)-1)*100</f>
        <v>30.805687203791486</v>
      </c>
      <c r="D60" s="1">
        <f t="shared" si="18"/>
        <v>18.009478672985789</v>
      </c>
      <c r="E60" s="1">
        <f t="shared" si="18"/>
        <v>18.009478672985789</v>
      </c>
      <c r="F60" s="1">
        <f t="shared" si="18"/>
        <v>18.009478672985789</v>
      </c>
      <c r="G60" s="1">
        <f>((G14/G11)-1)*100</f>
        <v>18.009478672985789</v>
      </c>
      <c r="H60" s="1" t="e">
        <f t="shared" si="18"/>
        <v>#DIV/0!</v>
      </c>
      <c r="I60" s="1" t="e">
        <f t="shared" si="18"/>
        <v>#DIV/0!</v>
      </c>
      <c r="J60" s="1" t="e">
        <f t="shared" si="18"/>
        <v>#DIV/0!</v>
      </c>
      <c r="K60" s="1" t="e">
        <f t="shared" si="18"/>
        <v>#DIV/0!</v>
      </c>
    </row>
    <row r="61" spans="1:11" x14ac:dyDescent="0.25">
      <c r="A61" s="1" t="s">
        <v>44</v>
      </c>
      <c r="B61" s="1">
        <f>((B36/B35)-1)*100</f>
        <v>1077.9595418555507</v>
      </c>
      <c r="C61" s="1">
        <f>((C36/C35)-1)*100</f>
        <v>752.68741132770015</v>
      </c>
      <c r="D61" s="1">
        <f t="shared" ref="D61:K61" si="19">((D36/D35)-1)*100</f>
        <v>748.16070539706845</v>
      </c>
      <c r="E61" s="1">
        <f t="shared" si="19"/>
        <v>525.73997213849589</v>
      </c>
      <c r="F61" s="1">
        <f t="shared" si="19"/>
        <v>361.75294283896449</v>
      </c>
      <c r="G61" s="1" t="e">
        <f t="shared" si="19"/>
        <v>#DIV/0!</v>
      </c>
      <c r="H61" s="1" t="e">
        <f t="shared" si="19"/>
        <v>#DIV/0!</v>
      </c>
      <c r="I61" s="1" t="e">
        <f t="shared" si="19"/>
        <v>#DIV/0!</v>
      </c>
      <c r="J61" s="1" t="e">
        <f t="shared" si="19"/>
        <v>#DIV/0!</v>
      </c>
      <c r="K61" s="1" t="e">
        <f t="shared" si="19"/>
        <v>#DIV/0!</v>
      </c>
    </row>
    <row r="62" spans="1:11" x14ac:dyDescent="0.25">
      <c r="A62" s="1" t="s">
        <v>45</v>
      </c>
      <c r="B62" s="1">
        <f t="shared" ref="B62:K62" si="20">((B38/B37)-1)*100</f>
        <v>-99.558148426660978</v>
      </c>
      <c r="C62" s="1">
        <f t="shared" si="20"/>
        <v>551.87334706574177</v>
      </c>
      <c r="D62" s="1">
        <f t="shared" si="20"/>
        <v>618.72252545695346</v>
      </c>
      <c r="E62" s="1">
        <f t="shared" si="20"/>
        <v>430.24551855912694</v>
      </c>
      <c r="F62" s="1">
        <f t="shared" si="20"/>
        <v>291.28462224506626</v>
      </c>
      <c r="G62" s="1" t="e">
        <f t="shared" si="20"/>
        <v>#DIV/0!</v>
      </c>
      <c r="H62" s="1" t="e">
        <f t="shared" si="20"/>
        <v>#DIV/0!</v>
      </c>
      <c r="I62" s="1" t="e">
        <f t="shared" si="20"/>
        <v>#DIV/0!</v>
      </c>
      <c r="J62" s="1" t="e">
        <f t="shared" si="20"/>
        <v>#DIV/0!</v>
      </c>
      <c r="K62" s="1" t="e">
        <f t="shared" si="20"/>
        <v>#DIV/0!</v>
      </c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 t="s">
        <v>46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 t="s">
        <v>136</v>
      </c>
      <c r="B65" s="1">
        <f t="shared" ref="B65:K65" si="21">B20/B13</f>
        <v>146386.55527977046</v>
      </c>
      <c r="C65" s="1">
        <f t="shared" si="21"/>
        <v>467571.89078125003</v>
      </c>
      <c r="D65" s="1">
        <f t="shared" si="21"/>
        <v>727098.64614583331</v>
      </c>
      <c r="E65" s="1">
        <f t="shared" si="21"/>
        <v>348426.77104166668</v>
      </c>
      <c r="F65" s="1">
        <f t="shared" si="21"/>
        <v>121093.75</v>
      </c>
      <c r="G65" s="1">
        <f t="shared" si="21"/>
        <v>257578.12510416665</v>
      </c>
      <c r="H65" s="1">
        <f t="shared" si="21"/>
        <v>208045.13541666666</v>
      </c>
      <c r="I65" s="1">
        <f t="shared" si="21"/>
        <v>24272.526732673268</v>
      </c>
      <c r="J65" s="1" t="e">
        <f t="shared" si="21"/>
        <v>#DIV/0!</v>
      </c>
      <c r="K65" s="1">
        <f t="shared" si="21"/>
        <v>6415.8415841584156</v>
      </c>
    </row>
    <row r="66" spans="1:11" x14ac:dyDescent="0.25">
      <c r="A66" s="1" t="s">
        <v>137</v>
      </c>
      <c r="B66" s="1">
        <f t="shared" ref="B66:K66" si="22">B21/B14</f>
        <v>318.60167679967577</v>
      </c>
      <c r="C66" s="1">
        <f t="shared" si="22"/>
        <v>470040.06315217394</v>
      </c>
      <c r="D66" s="1">
        <f t="shared" si="22"/>
        <v>518242.35915662651</v>
      </c>
      <c r="E66" s="1">
        <f t="shared" si="22"/>
        <v>267634.33204819274</v>
      </c>
      <c r="F66" s="1">
        <f t="shared" si="22"/>
        <v>84644.171686746995</v>
      </c>
      <c r="G66" s="1">
        <f t="shared" si="22"/>
        <v>165963.85542168675</v>
      </c>
      <c r="H66" s="1">
        <f t="shared" si="22"/>
        <v>25507.777777777777</v>
      </c>
      <c r="I66" s="1">
        <f t="shared" si="22"/>
        <v>88.019252563842613</v>
      </c>
      <c r="J66" s="1">
        <f t="shared" si="22"/>
        <v>72.896810512601931</v>
      </c>
      <c r="K66" s="1">
        <f t="shared" si="22"/>
        <v>3239.5530726256984</v>
      </c>
    </row>
    <row r="67" spans="1:11" x14ac:dyDescent="0.25">
      <c r="A67" s="1" t="s">
        <v>47</v>
      </c>
      <c r="B67" s="1">
        <f>(B65/B66)*B49</f>
        <v>6193693.6222194396</v>
      </c>
      <c r="C67" s="1">
        <f t="shared" ref="C67:K67" si="23">(C65/C66)*C49</f>
        <v>47.790861866135067</v>
      </c>
      <c r="D67" s="1">
        <f t="shared" si="23"/>
        <v>103.88007256424186</v>
      </c>
      <c r="E67" s="1">
        <f t="shared" si="23"/>
        <v>99.508190516926945</v>
      </c>
      <c r="F67" s="1">
        <f>(F65/F66)*F49</f>
        <v>105.07373076039615</v>
      </c>
      <c r="G67" s="1">
        <f t="shared" si="23"/>
        <v>110.32141197227025</v>
      </c>
      <c r="H67" s="1">
        <f t="shared" si="23"/>
        <v>42.919429914146555</v>
      </c>
      <c r="I67" s="1">
        <f t="shared" si="23"/>
        <v>5135585.8978443034</v>
      </c>
      <c r="J67" s="1" t="e">
        <f t="shared" si="23"/>
        <v>#DIV/0!</v>
      </c>
      <c r="K67" s="1">
        <f t="shared" si="23"/>
        <v>264.11106240999311</v>
      </c>
    </row>
    <row r="68" spans="1:11" s="1" customFormat="1" x14ac:dyDescent="0.25">
      <c r="A68" s="1" t="s">
        <v>130</v>
      </c>
      <c r="B68" s="1">
        <f>B20/(B13*12)</f>
        <v>12198.879606647537</v>
      </c>
      <c r="C68" s="1">
        <f t="shared" ref="C68:K68" si="24">C20/(C13*12)</f>
        <v>38964.324231770835</v>
      </c>
      <c r="D68" s="1">
        <f t="shared" si="24"/>
        <v>60591.553845486109</v>
      </c>
      <c r="E68" s="1">
        <f t="shared" si="24"/>
        <v>29035.564253472221</v>
      </c>
      <c r="F68" s="1">
        <f t="shared" si="24"/>
        <v>10091.145833333334</v>
      </c>
      <c r="G68" s="1">
        <f t="shared" si="24"/>
        <v>21464.843758680552</v>
      </c>
      <c r="H68" s="1">
        <f t="shared" si="24"/>
        <v>17337.094618055555</v>
      </c>
      <c r="I68" s="1">
        <f t="shared" si="24"/>
        <v>2022.7105610561057</v>
      </c>
      <c r="J68" s="1" t="e">
        <f t="shared" si="24"/>
        <v>#DIV/0!</v>
      </c>
      <c r="K68" s="1">
        <f t="shared" si="24"/>
        <v>534.65346534653463</v>
      </c>
    </row>
    <row r="69" spans="1:11" s="1" customFormat="1" x14ac:dyDescent="0.25">
      <c r="A69" s="1" t="s">
        <v>131</v>
      </c>
      <c r="B69" s="1">
        <f>B21/(B14*12)</f>
        <v>26.550139733306313</v>
      </c>
      <c r="C69" s="1">
        <f t="shared" ref="C69:K69" si="25">C21/(C14*12)</f>
        <v>39170.005262681159</v>
      </c>
      <c r="D69" s="1">
        <f t="shared" si="25"/>
        <v>43186.863263052212</v>
      </c>
      <c r="E69" s="1">
        <f t="shared" si="25"/>
        <v>22302.861004016064</v>
      </c>
      <c r="F69" s="1">
        <f t="shared" si="25"/>
        <v>7053.6809738955826</v>
      </c>
      <c r="G69" s="1">
        <f t="shared" si="25"/>
        <v>13830.321285140562</v>
      </c>
      <c r="H69" s="1">
        <f t="shared" si="25"/>
        <v>2125.6481481481483</v>
      </c>
      <c r="I69" s="1">
        <f t="shared" si="25"/>
        <v>7.3349377136535514</v>
      </c>
      <c r="J69" s="1">
        <f t="shared" si="25"/>
        <v>6.074734209383494</v>
      </c>
      <c r="K69" s="1">
        <f t="shared" si="25"/>
        <v>269.96275605214151</v>
      </c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 t="s">
        <v>48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 t="s">
        <v>49</v>
      </c>
      <c r="B72" s="1">
        <f>(B27/B26)*100</f>
        <v>61.517404339740047</v>
      </c>
      <c r="C72" s="1">
        <f>(C27/C26)*100</f>
        <v>57.075179251209228</v>
      </c>
      <c r="D72" s="1"/>
      <c r="E72" s="1"/>
      <c r="F72" s="1"/>
      <c r="G72" s="1"/>
      <c r="H72" s="1"/>
      <c r="I72" s="1">
        <f>(I27/I26)*100</f>
        <v>94.051880437533342</v>
      </c>
      <c r="J72" s="1"/>
      <c r="K72" s="1"/>
    </row>
    <row r="73" spans="1:11" x14ac:dyDescent="0.25">
      <c r="A73" s="1" t="s">
        <v>50</v>
      </c>
      <c r="B73" s="1">
        <f>(B21/B27)*100</f>
        <v>95.176834075384278</v>
      </c>
      <c r="C73" s="1">
        <f>(C21/C27)*100</f>
        <v>84.396764183005217</v>
      </c>
      <c r="D73" s="1"/>
      <c r="E73" s="1"/>
      <c r="F73" s="1"/>
      <c r="G73" s="1"/>
      <c r="H73" s="1"/>
      <c r="I73" s="1">
        <f>(I21/I27)*100</f>
        <v>143.08887099655894</v>
      </c>
      <c r="J73" s="1"/>
      <c r="K73" s="1"/>
    </row>
    <row r="74" spans="1:11" ht="15.75" thickBot="1" x14ac:dyDescent="0.3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1:11" ht="15.75" thickTop="1" x14ac:dyDescent="0.25">
      <c r="A75" s="16" t="s">
        <v>119</v>
      </c>
    </row>
    <row r="76" spans="1:11" x14ac:dyDescent="0.25">
      <c r="A76" s="16" t="s">
        <v>120</v>
      </c>
    </row>
    <row r="77" spans="1:11" x14ac:dyDescent="0.25">
      <c r="A77" s="16" t="s">
        <v>121</v>
      </c>
    </row>
    <row r="78" spans="1:11" x14ac:dyDescent="0.25">
      <c r="A78" s="16" t="s">
        <v>122</v>
      </c>
    </row>
    <row r="79" spans="1:11" x14ac:dyDescent="0.25">
      <c r="A79" s="16" t="s">
        <v>123</v>
      </c>
    </row>
    <row r="80" spans="1:11" x14ac:dyDescent="0.25">
      <c r="A80" s="16" t="s">
        <v>126</v>
      </c>
    </row>
    <row r="82" spans="1:1" x14ac:dyDescent="0.25">
      <c r="A82" s="2" t="s">
        <v>124</v>
      </c>
    </row>
    <row r="83" spans="1:1" x14ac:dyDescent="0.25">
      <c r="A83" s="2" t="s">
        <v>125</v>
      </c>
    </row>
    <row r="84" spans="1:1" x14ac:dyDescent="0.25">
      <c r="A84" s="2" t="s">
        <v>127</v>
      </c>
    </row>
    <row r="85" spans="1:1" x14ac:dyDescent="0.25">
      <c r="A85" s="2" t="s">
        <v>141</v>
      </c>
    </row>
    <row r="86" spans="1:1" x14ac:dyDescent="0.25">
      <c r="A86" s="2" t="s">
        <v>142</v>
      </c>
    </row>
    <row r="87" spans="1:1" x14ac:dyDescent="0.25">
      <c r="A87" s="2" t="s">
        <v>143</v>
      </c>
    </row>
    <row r="88" spans="1:1" x14ac:dyDescent="0.25">
      <c r="A88" s="17" t="s">
        <v>144</v>
      </c>
    </row>
  </sheetData>
  <mergeCells count="11">
    <mergeCell ref="A2:K2"/>
    <mergeCell ref="A4:A6"/>
    <mergeCell ref="B4:B6"/>
    <mergeCell ref="C4:H4"/>
    <mergeCell ref="I4:K4"/>
    <mergeCell ref="C5:C6"/>
    <mergeCell ref="D5:G5"/>
    <mergeCell ref="H5:H6"/>
    <mergeCell ref="I5:I6"/>
    <mergeCell ref="J5:J6"/>
    <mergeCell ref="K5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III Trimestre</vt:lpstr>
      <vt:lpstr>IV Trimestre</vt:lpstr>
      <vt:lpstr>I Semestre</vt:lpstr>
      <vt:lpstr>III Trimestre Acumulado</vt:lpstr>
      <vt:lpstr>Anual</vt:lpstr>
    </vt:vector>
  </TitlesOfParts>
  <Company>FAM ASTORGA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NASTORGA</dc:creator>
  <cp:lastModifiedBy>Horacio Rodriguez</cp:lastModifiedBy>
  <dcterms:created xsi:type="dcterms:W3CDTF">2012-04-23T15:28:09Z</dcterms:created>
  <dcterms:modified xsi:type="dcterms:W3CDTF">2013-10-29T20:36:03Z</dcterms:modified>
</cp:coreProperties>
</file>