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rodriguez\Documents\Hermes Cliente\files\"/>
    </mc:Choice>
  </mc:AlternateContent>
  <bookViews>
    <workbookView xWindow="360" yWindow="120" windowWidth="15480" windowHeight="9495" tabRatio="72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Tercer trimestre Acumulado" sheetId="7" r:id="rId6"/>
    <sheet name="Anual" sheetId="8" r:id="rId7"/>
  </sheets>
  <calcPr calcId="152511"/>
</workbook>
</file>

<file path=xl/calcChain.xml><?xml version="1.0" encoding="utf-8"?>
<calcChain xmlns="http://schemas.openxmlformats.org/spreadsheetml/2006/main">
  <c r="E49" i="4" l="1"/>
  <c r="E49" i="3"/>
  <c r="F65" i="4" l="1"/>
  <c r="C66" i="4"/>
  <c r="D66" i="4"/>
  <c r="E66" i="4"/>
  <c r="F66" i="4"/>
  <c r="C66" i="3"/>
  <c r="D66" i="3"/>
  <c r="E66" i="3"/>
  <c r="F66" i="3"/>
  <c r="F65" i="3"/>
  <c r="C66" i="2"/>
  <c r="D66" i="2"/>
  <c r="E66" i="2"/>
  <c r="C66" i="1"/>
  <c r="D66" i="1"/>
  <c r="E66" i="1"/>
  <c r="E19" i="4" l="1"/>
  <c r="D19" i="4"/>
  <c r="C19" i="4"/>
  <c r="E17" i="4"/>
  <c r="E65" i="4" s="1"/>
  <c r="D17" i="4"/>
  <c r="C17" i="4"/>
  <c r="E19" i="3"/>
  <c r="E17" i="3"/>
  <c r="E65" i="3" s="1"/>
  <c r="E11" i="3"/>
  <c r="E17" i="1"/>
  <c r="B24" i="1"/>
  <c r="D20" i="4" l="1"/>
  <c r="E20" i="4"/>
  <c r="C20" i="4"/>
  <c r="D20" i="3"/>
  <c r="E20" i="3"/>
  <c r="C20" i="3"/>
  <c r="D20" i="2"/>
  <c r="E20" i="2"/>
  <c r="C20" i="2"/>
  <c r="B20" i="2" s="1"/>
  <c r="D20" i="1"/>
  <c r="E20" i="1"/>
  <c r="C20" i="1"/>
  <c r="B20" i="4" l="1"/>
  <c r="B20" i="3"/>
  <c r="B17" i="4"/>
  <c r="B16" i="4"/>
  <c r="D13" i="4"/>
  <c r="D49" i="4" s="1"/>
  <c r="C13" i="4"/>
  <c r="C49" i="4" s="1"/>
  <c r="D13" i="3"/>
  <c r="D49" i="3" s="1"/>
  <c r="C13" i="3"/>
  <c r="C49" i="3" s="1"/>
  <c r="E13" i="2"/>
  <c r="E49" i="2" s="1"/>
  <c r="D13" i="2"/>
  <c r="D49" i="2" s="1"/>
  <c r="C13" i="2"/>
  <c r="C49" i="2" s="1"/>
  <c r="E13" i="1"/>
  <c r="E49" i="1" s="1"/>
  <c r="D13" i="1"/>
  <c r="D49" i="1" s="1"/>
  <c r="C13" i="1"/>
  <c r="C49" i="1" s="1"/>
  <c r="B13" i="4" l="1"/>
  <c r="B17" i="2" l="1"/>
  <c r="B17" i="3"/>
  <c r="B18" i="3" l="1"/>
  <c r="B66" i="3" s="1"/>
  <c r="B16" i="3"/>
  <c r="B10" i="3"/>
  <c r="B12" i="3"/>
  <c r="F11" i="6"/>
  <c r="F40" i="6" s="1"/>
  <c r="C12" i="6"/>
  <c r="C49" i="6" s="1"/>
  <c r="D12" i="6"/>
  <c r="E12" i="6"/>
  <c r="F12" i="6"/>
  <c r="F44" i="6" s="1"/>
  <c r="F46" i="6" s="1"/>
  <c r="E10" i="6"/>
  <c r="F10" i="6"/>
  <c r="D13" i="6"/>
  <c r="E13" i="6"/>
  <c r="F13" i="6"/>
  <c r="C13" i="6"/>
  <c r="D13" i="7"/>
  <c r="E13" i="7"/>
  <c r="F13" i="7"/>
  <c r="C13" i="7"/>
  <c r="D13" i="8"/>
  <c r="E13" i="8"/>
  <c r="F13" i="8"/>
  <c r="C13" i="8"/>
  <c r="C19" i="6"/>
  <c r="D19" i="6"/>
  <c r="E19" i="6"/>
  <c r="F19" i="6"/>
  <c r="F17" i="6"/>
  <c r="C18" i="6"/>
  <c r="D18" i="6"/>
  <c r="D66" i="6" s="1"/>
  <c r="E18" i="6"/>
  <c r="E66" i="6" s="1"/>
  <c r="F18" i="6"/>
  <c r="E16" i="6"/>
  <c r="E32" i="6" s="1"/>
  <c r="F16" i="6"/>
  <c r="F32" i="6" s="1"/>
  <c r="F34" i="6" s="1"/>
  <c r="F50" i="6" l="1"/>
  <c r="F66" i="6"/>
  <c r="F62" i="6"/>
  <c r="F64" i="6" s="1"/>
  <c r="F65" i="6"/>
  <c r="B13" i="6"/>
  <c r="E57" i="6"/>
  <c r="E49" i="6"/>
  <c r="C66" i="6"/>
  <c r="D49" i="6"/>
  <c r="E34" i="6"/>
  <c r="D50" i="6"/>
  <c r="D20" i="6"/>
  <c r="D54" i="6" s="1"/>
  <c r="F54" i="6"/>
  <c r="E63" i="6"/>
  <c r="E20" i="6"/>
  <c r="E54" i="6" s="1"/>
  <c r="B18" i="6"/>
  <c r="C63" i="6"/>
  <c r="C20" i="6"/>
  <c r="C54" i="6" s="1"/>
  <c r="B12" i="6"/>
  <c r="B49" i="6" s="1"/>
  <c r="F49" i="6"/>
  <c r="F51" i="6" s="1"/>
  <c r="F41" i="6"/>
  <c r="D41" i="6"/>
  <c r="E50" i="6"/>
  <c r="C50" i="6"/>
  <c r="E41" i="6"/>
  <c r="C41" i="6"/>
  <c r="F63" i="6"/>
  <c r="D63" i="6"/>
  <c r="D33" i="6"/>
  <c r="F33" i="6"/>
  <c r="F35" i="6" s="1"/>
  <c r="F45" i="6"/>
  <c r="F57" i="6"/>
  <c r="C33" i="6"/>
  <c r="E33" i="6"/>
  <c r="B33" i="6" l="1"/>
  <c r="B66" i="6"/>
  <c r="D51" i="6"/>
  <c r="E51" i="6"/>
  <c r="B63" i="6"/>
  <c r="B41" i="6"/>
  <c r="B20" i="6"/>
  <c r="B54" i="6" s="1"/>
  <c r="C51" i="6"/>
  <c r="E58" i="6"/>
  <c r="F58" i="6"/>
  <c r="F59" i="6"/>
  <c r="C19" i="7" l="1"/>
  <c r="D19" i="7"/>
  <c r="E19" i="7"/>
  <c r="F19" i="7"/>
  <c r="B19" i="3"/>
  <c r="B19" i="7" s="1"/>
  <c r="B19" i="4"/>
  <c r="B19" i="8" s="1"/>
  <c r="C19" i="8"/>
  <c r="D19" i="8"/>
  <c r="E19" i="8"/>
  <c r="F19" i="8"/>
  <c r="F17" i="7"/>
  <c r="F65" i="7" s="1"/>
  <c r="C18" i="7"/>
  <c r="D18" i="7"/>
  <c r="E18" i="7"/>
  <c r="F18" i="7"/>
  <c r="E16" i="7"/>
  <c r="E32" i="7" s="1"/>
  <c r="F16" i="7"/>
  <c r="F32" i="7" s="1"/>
  <c r="C12" i="7"/>
  <c r="C49" i="7" s="1"/>
  <c r="D12" i="7"/>
  <c r="D49" i="7" s="1"/>
  <c r="E12" i="7"/>
  <c r="E49" i="7" s="1"/>
  <c r="F12" i="7"/>
  <c r="F11" i="7"/>
  <c r="E10" i="7"/>
  <c r="F10" i="7"/>
  <c r="B13" i="7"/>
  <c r="F40" i="7"/>
  <c r="C27" i="3"/>
  <c r="C32" i="3" s="1"/>
  <c r="C34" i="3" s="1"/>
  <c r="D27" i="3"/>
  <c r="D32" i="3" s="1"/>
  <c r="D34" i="3" s="1"/>
  <c r="E27" i="3"/>
  <c r="F27" i="3"/>
  <c r="F32" i="3" s="1"/>
  <c r="F34" i="3" s="1"/>
  <c r="C28" i="3"/>
  <c r="C33" i="3" s="1"/>
  <c r="C35" i="3" s="1"/>
  <c r="D28" i="3"/>
  <c r="D33" i="3" s="1"/>
  <c r="E28" i="3"/>
  <c r="F28" i="3"/>
  <c r="F33" i="3" s="1"/>
  <c r="B28" i="3"/>
  <c r="B33" i="3" s="1"/>
  <c r="B35" i="3" s="1"/>
  <c r="B27" i="3"/>
  <c r="B32" i="3" s="1"/>
  <c r="F11" i="8"/>
  <c r="C12" i="8"/>
  <c r="C49" i="8" s="1"/>
  <c r="D12" i="8"/>
  <c r="D49" i="8" s="1"/>
  <c r="E12" i="8"/>
  <c r="E49" i="8" s="1"/>
  <c r="F12" i="8"/>
  <c r="F49" i="8" s="1"/>
  <c r="F17" i="8"/>
  <c r="F65" i="8" s="1"/>
  <c r="C18" i="8"/>
  <c r="D18" i="8"/>
  <c r="E18" i="8"/>
  <c r="F18" i="8"/>
  <c r="F66" i="8" s="1"/>
  <c r="E16" i="8"/>
  <c r="E32" i="8" s="1"/>
  <c r="F16" i="8"/>
  <c r="F32" i="8" s="1"/>
  <c r="E10" i="8"/>
  <c r="F10" i="8"/>
  <c r="F44" i="8"/>
  <c r="F40" i="8"/>
  <c r="B13" i="8"/>
  <c r="F32" i="4"/>
  <c r="F34" i="4" s="1"/>
  <c r="F33" i="4"/>
  <c r="F35" i="4" s="1"/>
  <c r="E63" i="4"/>
  <c r="D63" i="4"/>
  <c r="C63" i="4"/>
  <c r="F62" i="4"/>
  <c r="F57" i="4"/>
  <c r="E57" i="4"/>
  <c r="D57" i="4"/>
  <c r="C57" i="4"/>
  <c r="F54" i="4"/>
  <c r="E54" i="4"/>
  <c r="D54" i="4"/>
  <c r="C54" i="4"/>
  <c r="F50" i="4"/>
  <c r="E50" i="4"/>
  <c r="E51" i="4" s="1"/>
  <c r="D50" i="4"/>
  <c r="D51" i="4" s="1"/>
  <c r="C50" i="4"/>
  <c r="C51" i="4" s="1"/>
  <c r="F49" i="4"/>
  <c r="F51" i="4" s="1"/>
  <c r="F45" i="4"/>
  <c r="E45" i="4"/>
  <c r="D45" i="4"/>
  <c r="C45" i="4"/>
  <c r="F44" i="4"/>
  <c r="F46" i="4" s="1"/>
  <c r="F41" i="4"/>
  <c r="E41" i="4"/>
  <c r="D41" i="4"/>
  <c r="C41" i="4"/>
  <c r="F40" i="4"/>
  <c r="E62" i="4"/>
  <c r="D11" i="4"/>
  <c r="C11" i="4"/>
  <c r="E33" i="4"/>
  <c r="E35" i="4" s="1"/>
  <c r="D33" i="4"/>
  <c r="D35" i="4" s="1"/>
  <c r="C33" i="4"/>
  <c r="C35" i="4" s="1"/>
  <c r="E32" i="4"/>
  <c r="E34" i="4" s="1"/>
  <c r="D32" i="4"/>
  <c r="D34" i="4" s="1"/>
  <c r="C32" i="4"/>
  <c r="C34" i="4" s="1"/>
  <c r="B24" i="4"/>
  <c r="B18" i="4"/>
  <c r="B66" i="4" s="1"/>
  <c r="D23" i="4"/>
  <c r="B32" i="4"/>
  <c r="B12" i="4"/>
  <c r="B49" i="4" s="1"/>
  <c r="B10" i="4"/>
  <c r="F40" i="3"/>
  <c r="F41" i="3"/>
  <c r="F44" i="3"/>
  <c r="F46" i="3" s="1"/>
  <c r="F45" i="3"/>
  <c r="F49" i="3"/>
  <c r="F50" i="3"/>
  <c r="F54" i="3"/>
  <c r="F57" i="3"/>
  <c r="F62" i="3"/>
  <c r="F63" i="3"/>
  <c r="E63" i="3"/>
  <c r="D63" i="3"/>
  <c r="C63" i="3"/>
  <c r="B63" i="3"/>
  <c r="E57" i="3"/>
  <c r="D57" i="3"/>
  <c r="C57" i="3"/>
  <c r="B57" i="3"/>
  <c r="E54" i="3"/>
  <c r="D54" i="3"/>
  <c r="C54" i="3"/>
  <c r="B54" i="3"/>
  <c r="E50" i="3"/>
  <c r="E51" i="3" s="1"/>
  <c r="D50" i="3"/>
  <c r="C50" i="3"/>
  <c r="C51" i="3" s="1"/>
  <c r="D51" i="3"/>
  <c r="E45" i="3"/>
  <c r="D45" i="3"/>
  <c r="C45" i="3"/>
  <c r="B45" i="3"/>
  <c r="E41" i="3"/>
  <c r="D41" i="3"/>
  <c r="C41" i="3"/>
  <c r="B41" i="3"/>
  <c r="E62" i="3"/>
  <c r="D11" i="3"/>
  <c r="C11" i="3"/>
  <c r="C65" i="3" s="1"/>
  <c r="E33" i="3"/>
  <c r="E35" i="3" s="1"/>
  <c r="E32" i="3"/>
  <c r="E34" i="3" s="1"/>
  <c r="B24" i="3"/>
  <c r="B70" i="3" s="1"/>
  <c r="F23" i="3"/>
  <c r="E23" i="3"/>
  <c r="B13" i="3"/>
  <c r="B49" i="3" s="1"/>
  <c r="E63" i="2"/>
  <c r="D63" i="2"/>
  <c r="C63" i="2"/>
  <c r="E57" i="2"/>
  <c r="D57" i="2"/>
  <c r="C57" i="2"/>
  <c r="E54" i="2"/>
  <c r="D54" i="2"/>
  <c r="C54" i="2"/>
  <c r="E50" i="2"/>
  <c r="E51" i="2" s="1"/>
  <c r="D50" i="2"/>
  <c r="C50" i="2"/>
  <c r="C51" i="2" s="1"/>
  <c r="D51" i="2"/>
  <c r="E45" i="2"/>
  <c r="D45" i="2"/>
  <c r="C45" i="2"/>
  <c r="E41" i="2"/>
  <c r="D41" i="2"/>
  <c r="C41" i="2"/>
  <c r="E11" i="2"/>
  <c r="D11" i="2"/>
  <c r="C11" i="2"/>
  <c r="E33" i="2"/>
  <c r="E35" i="2" s="1"/>
  <c r="D33" i="2"/>
  <c r="D35" i="2" s="1"/>
  <c r="C33" i="2"/>
  <c r="C35" i="2" s="1"/>
  <c r="E32" i="2"/>
  <c r="E34" i="2" s="1"/>
  <c r="D32" i="2"/>
  <c r="D34" i="2" s="1"/>
  <c r="C32" i="2"/>
  <c r="C34" i="2" s="1"/>
  <c r="B24" i="2"/>
  <c r="B24" i="6" s="1"/>
  <c r="B70" i="6" s="1"/>
  <c r="B19" i="2"/>
  <c r="B19" i="6" s="1"/>
  <c r="B50" i="6" s="1"/>
  <c r="B51" i="6" s="1"/>
  <c r="B18" i="2"/>
  <c r="D23" i="2"/>
  <c r="B16" i="2"/>
  <c r="B32" i="2" s="1"/>
  <c r="B12" i="2"/>
  <c r="B10" i="2"/>
  <c r="D63" i="1"/>
  <c r="E63" i="1"/>
  <c r="C63" i="1"/>
  <c r="E11" i="1"/>
  <c r="E65" i="1" s="1"/>
  <c r="D11" i="1"/>
  <c r="D44" i="1" s="1"/>
  <c r="C11" i="1"/>
  <c r="D10" i="1"/>
  <c r="D57" i="1" s="1"/>
  <c r="C10" i="1"/>
  <c r="C57" i="1" s="1"/>
  <c r="E57" i="1"/>
  <c r="E54" i="1"/>
  <c r="D54" i="1"/>
  <c r="C54" i="1"/>
  <c r="E50" i="1"/>
  <c r="E51" i="1" s="1"/>
  <c r="E41" i="1"/>
  <c r="D41" i="1"/>
  <c r="C41" i="1"/>
  <c r="E33" i="1"/>
  <c r="E35" i="1" s="1"/>
  <c r="D33" i="1"/>
  <c r="D35" i="1" s="1"/>
  <c r="C33" i="1"/>
  <c r="C35" i="1" s="1"/>
  <c r="E32" i="1"/>
  <c r="E34" i="1" s="1"/>
  <c r="B20" i="1"/>
  <c r="D19" i="1"/>
  <c r="D50" i="1" s="1"/>
  <c r="D51" i="1" s="1"/>
  <c r="C19" i="1"/>
  <c r="B18" i="1"/>
  <c r="D17" i="1"/>
  <c r="D65" i="1" s="1"/>
  <c r="C17" i="1"/>
  <c r="C65" i="1" s="1"/>
  <c r="D16" i="1"/>
  <c r="C16" i="1"/>
  <c r="B16" i="1" s="1"/>
  <c r="B32" i="1" s="1"/>
  <c r="B12" i="1"/>
  <c r="F54" i="7" l="1"/>
  <c r="F66" i="7"/>
  <c r="D62" i="2"/>
  <c r="D65" i="2"/>
  <c r="C20" i="8"/>
  <c r="C66" i="8"/>
  <c r="E44" i="2"/>
  <c r="E65" i="2"/>
  <c r="B70" i="1"/>
  <c r="B66" i="1"/>
  <c r="B66" i="2"/>
  <c r="D62" i="3"/>
  <c r="D65" i="3"/>
  <c r="C62" i="4"/>
  <c r="C65" i="4"/>
  <c r="E20" i="8"/>
  <c r="E66" i="8"/>
  <c r="E20" i="7"/>
  <c r="E66" i="7"/>
  <c r="C20" i="7"/>
  <c r="C66" i="7"/>
  <c r="E57" i="7"/>
  <c r="B49" i="2"/>
  <c r="C44" i="2"/>
  <c r="C65" i="2"/>
  <c r="D62" i="4"/>
  <c r="D65" i="4"/>
  <c r="D66" i="8"/>
  <c r="D66" i="7"/>
  <c r="F41" i="8"/>
  <c r="F57" i="8"/>
  <c r="F63" i="8"/>
  <c r="F62" i="8"/>
  <c r="B11" i="1"/>
  <c r="B40" i="1" s="1"/>
  <c r="F34" i="7"/>
  <c r="F45" i="8"/>
  <c r="F46" i="8" s="1"/>
  <c r="B70" i="4"/>
  <c r="E33" i="8"/>
  <c r="E58" i="8" s="1"/>
  <c r="E50" i="8"/>
  <c r="E51" i="8" s="1"/>
  <c r="C46" i="2"/>
  <c r="C33" i="8"/>
  <c r="C35" i="8" s="1"/>
  <c r="E35" i="8"/>
  <c r="B12" i="7"/>
  <c r="B49" i="7" s="1"/>
  <c r="D20" i="7"/>
  <c r="D54" i="7" s="1"/>
  <c r="B11" i="2"/>
  <c r="B70" i="2"/>
  <c r="F58" i="4"/>
  <c r="C50" i="8"/>
  <c r="C51" i="8" s="1"/>
  <c r="D63" i="8"/>
  <c r="D20" i="8"/>
  <c r="D54" i="8" s="1"/>
  <c r="B34" i="2"/>
  <c r="D41" i="8"/>
  <c r="B12" i="8"/>
  <c r="B41" i="8" s="1"/>
  <c r="C59" i="4"/>
  <c r="E59" i="4"/>
  <c r="F34" i="8"/>
  <c r="B50" i="3"/>
  <c r="F64" i="3"/>
  <c r="F51" i="3"/>
  <c r="B18" i="8"/>
  <c r="D33" i="8"/>
  <c r="D35" i="8" s="1"/>
  <c r="F33" i="8"/>
  <c r="F35" i="8" s="1"/>
  <c r="C41" i="8"/>
  <c r="E41" i="8"/>
  <c r="D50" i="8"/>
  <c r="D51" i="8" s="1"/>
  <c r="F50" i="8"/>
  <c r="F51" i="8" s="1"/>
  <c r="F54" i="8"/>
  <c r="E57" i="8"/>
  <c r="B54" i="2"/>
  <c r="D59" i="2"/>
  <c r="D32" i="1"/>
  <c r="D34" i="1" s="1"/>
  <c r="D16" i="6"/>
  <c r="D32" i="6" s="1"/>
  <c r="D16" i="7"/>
  <c r="D32" i="7" s="1"/>
  <c r="D16" i="8"/>
  <c r="D32" i="8" s="1"/>
  <c r="C32" i="1"/>
  <c r="C34" i="1" s="1"/>
  <c r="C59" i="1" s="1"/>
  <c r="C16" i="6"/>
  <c r="C16" i="7"/>
  <c r="C16" i="8"/>
  <c r="C17" i="6"/>
  <c r="C17" i="7"/>
  <c r="C17" i="8"/>
  <c r="E17" i="6"/>
  <c r="E17" i="7"/>
  <c r="E17" i="8"/>
  <c r="C50" i="1"/>
  <c r="C51" i="1" s="1"/>
  <c r="B19" i="1"/>
  <c r="D10" i="6"/>
  <c r="D57" i="6" s="1"/>
  <c r="D10" i="7"/>
  <c r="D57" i="7" s="1"/>
  <c r="D10" i="8"/>
  <c r="D57" i="8" s="1"/>
  <c r="D11" i="6"/>
  <c r="D11" i="7"/>
  <c r="D40" i="7" s="1"/>
  <c r="D11" i="8"/>
  <c r="D44" i="8" s="1"/>
  <c r="B44" i="1"/>
  <c r="E62" i="1"/>
  <c r="C62" i="1"/>
  <c r="C59" i="2"/>
  <c r="E59" i="2"/>
  <c r="D59" i="4"/>
  <c r="F59" i="4"/>
  <c r="D45" i="1"/>
  <c r="D46" i="1" s="1"/>
  <c r="D17" i="6"/>
  <c r="D65" i="6" s="1"/>
  <c r="D17" i="7"/>
  <c r="D17" i="8"/>
  <c r="D65" i="8" s="1"/>
  <c r="C10" i="6"/>
  <c r="C10" i="7"/>
  <c r="C57" i="7" s="1"/>
  <c r="C10" i="8"/>
  <c r="C11" i="6"/>
  <c r="C11" i="8"/>
  <c r="C40" i="8" s="1"/>
  <c r="C11" i="7"/>
  <c r="C40" i="7" s="1"/>
  <c r="E44" i="1"/>
  <c r="E11" i="6"/>
  <c r="E11" i="8"/>
  <c r="E44" i="8" s="1"/>
  <c r="E11" i="7"/>
  <c r="E40" i="7" s="1"/>
  <c r="B50" i="1"/>
  <c r="D62" i="1"/>
  <c r="B63" i="1"/>
  <c r="D40" i="2"/>
  <c r="B41" i="2"/>
  <c r="B44" i="2"/>
  <c r="D44" i="2"/>
  <c r="D46" i="2" s="1"/>
  <c r="B50" i="2"/>
  <c r="B57" i="2"/>
  <c r="D58" i="2"/>
  <c r="C62" i="2"/>
  <c r="E62" i="2"/>
  <c r="B11" i="3"/>
  <c r="B65" i="3" s="1"/>
  <c r="C40" i="3"/>
  <c r="E40" i="3"/>
  <c r="C44" i="3"/>
  <c r="C46" i="3" s="1"/>
  <c r="E44" i="3"/>
  <c r="E46" i="3" s="1"/>
  <c r="E64" i="3" s="1"/>
  <c r="C62" i="3"/>
  <c r="B34" i="4"/>
  <c r="C40" i="4"/>
  <c r="E40" i="4"/>
  <c r="B41" i="4"/>
  <c r="C44" i="4"/>
  <c r="C46" i="4" s="1"/>
  <c r="C64" i="4" s="1"/>
  <c r="E44" i="4"/>
  <c r="E46" i="4" s="1"/>
  <c r="E64" i="4" s="1"/>
  <c r="B50" i="4"/>
  <c r="B51" i="4" s="1"/>
  <c r="B57" i="4"/>
  <c r="D58" i="4"/>
  <c r="B63" i="4"/>
  <c r="F63" i="4"/>
  <c r="F64" i="4" s="1"/>
  <c r="E54" i="8"/>
  <c r="E63" i="8"/>
  <c r="C63" i="8"/>
  <c r="E34" i="7"/>
  <c r="E44" i="7"/>
  <c r="E63" i="7"/>
  <c r="C63" i="7"/>
  <c r="C40" i="2"/>
  <c r="E40" i="2"/>
  <c r="C58" i="2"/>
  <c r="E58" i="2"/>
  <c r="B63" i="2"/>
  <c r="D58" i="3"/>
  <c r="F58" i="3"/>
  <c r="D40" i="3"/>
  <c r="D44" i="3"/>
  <c r="D46" i="3" s="1"/>
  <c r="D64" i="3" s="1"/>
  <c r="D40" i="4"/>
  <c r="D44" i="4"/>
  <c r="D46" i="4" s="1"/>
  <c r="D64" i="4" s="1"/>
  <c r="B54" i="4"/>
  <c r="C58" i="4"/>
  <c r="E58" i="4"/>
  <c r="B24" i="8"/>
  <c r="F49" i="7"/>
  <c r="F44" i="7"/>
  <c r="F63" i="7"/>
  <c r="D63" i="7"/>
  <c r="F62" i="7"/>
  <c r="B24" i="7"/>
  <c r="E46" i="2"/>
  <c r="E64" i="2" s="1"/>
  <c r="E34" i="8"/>
  <c r="D33" i="7"/>
  <c r="D35" i="7" s="1"/>
  <c r="F33" i="7"/>
  <c r="F35" i="7" s="1"/>
  <c r="B41" i="7"/>
  <c r="D41" i="7"/>
  <c r="F41" i="7"/>
  <c r="D45" i="7"/>
  <c r="F45" i="7"/>
  <c r="C50" i="7"/>
  <c r="C51" i="7" s="1"/>
  <c r="E50" i="7"/>
  <c r="C54" i="7"/>
  <c r="E54" i="7"/>
  <c r="F57" i="7"/>
  <c r="B18" i="7"/>
  <c r="B66" i="7" s="1"/>
  <c r="C33" i="7"/>
  <c r="C35" i="7" s="1"/>
  <c r="E33" i="7"/>
  <c r="E35" i="7" s="1"/>
  <c r="C41" i="7"/>
  <c r="E41" i="7"/>
  <c r="C45" i="7"/>
  <c r="D50" i="7"/>
  <c r="F50" i="7"/>
  <c r="C59" i="3"/>
  <c r="E59" i="3"/>
  <c r="C58" i="3"/>
  <c r="E58" i="3"/>
  <c r="F35" i="3"/>
  <c r="F59" i="3" s="1"/>
  <c r="D35" i="3"/>
  <c r="D59" i="3" s="1"/>
  <c r="B58" i="3"/>
  <c r="B34" i="3"/>
  <c r="B59" i="3" s="1"/>
  <c r="F59" i="8"/>
  <c r="C44" i="8"/>
  <c r="C23" i="4"/>
  <c r="E23" i="4"/>
  <c r="B33" i="4"/>
  <c r="B11" i="4"/>
  <c r="C23" i="3"/>
  <c r="D23" i="3"/>
  <c r="C64" i="2"/>
  <c r="B13" i="2"/>
  <c r="C23" i="2"/>
  <c r="E23" i="2"/>
  <c r="B33" i="2"/>
  <c r="B10" i="1"/>
  <c r="B34" i="1" s="1"/>
  <c r="D23" i="1"/>
  <c r="B33" i="1"/>
  <c r="B35" i="1" s="1"/>
  <c r="B54" i="1"/>
  <c r="E58" i="1"/>
  <c r="D59" i="1"/>
  <c r="C40" i="1"/>
  <c r="E40" i="1"/>
  <c r="C44" i="1"/>
  <c r="C45" i="1"/>
  <c r="E45" i="1"/>
  <c r="E46" i="1" s="1"/>
  <c r="E64" i="1" s="1"/>
  <c r="B13" i="1"/>
  <c r="B49" i="1" s="1"/>
  <c r="B17" i="1"/>
  <c r="B65" i="1" s="1"/>
  <c r="C23" i="1"/>
  <c r="E23" i="1"/>
  <c r="E59" i="1"/>
  <c r="D40" i="1"/>
  <c r="B41" i="1"/>
  <c r="E23" i="7" l="1"/>
  <c r="E65" i="7"/>
  <c r="C65" i="6"/>
  <c r="D65" i="7"/>
  <c r="E65" i="6"/>
  <c r="B51" i="1"/>
  <c r="C23" i="8"/>
  <c r="C65" i="8"/>
  <c r="B40" i="2"/>
  <c r="B65" i="2"/>
  <c r="B40" i="4"/>
  <c r="B65" i="4"/>
  <c r="C44" i="7"/>
  <c r="D64" i="2"/>
  <c r="E23" i="8"/>
  <c r="E65" i="8"/>
  <c r="C65" i="7"/>
  <c r="B33" i="8"/>
  <c r="B66" i="8"/>
  <c r="F64" i="8"/>
  <c r="D44" i="7"/>
  <c r="B20" i="7"/>
  <c r="B54" i="7" s="1"/>
  <c r="F58" i="8"/>
  <c r="B58" i="1"/>
  <c r="C64" i="3"/>
  <c r="B51" i="3"/>
  <c r="E59" i="8"/>
  <c r="B50" i="8"/>
  <c r="D58" i="8"/>
  <c r="D46" i="7"/>
  <c r="D58" i="1"/>
  <c r="B70" i="8"/>
  <c r="C58" i="1"/>
  <c r="E45" i="7"/>
  <c r="E46" i="7" s="1"/>
  <c r="F46" i="7"/>
  <c r="F64" i="7" s="1"/>
  <c r="D62" i="7"/>
  <c r="D64" i="7" s="1"/>
  <c r="B20" i="8"/>
  <c r="B54" i="8" s="1"/>
  <c r="B63" i="8"/>
  <c r="B49" i="8"/>
  <c r="B35" i="8"/>
  <c r="D40" i="8"/>
  <c r="E40" i="8"/>
  <c r="D23" i="7"/>
  <c r="B10" i="7"/>
  <c r="B57" i="7" s="1"/>
  <c r="D64" i="1"/>
  <c r="C46" i="1"/>
  <c r="C64" i="1" s="1"/>
  <c r="B35" i="2"/>
  <c r="B59" i="2" s="1"/>
  <c r="B58" i="2"/>
  <c r="B58" i="4"/>
  <c r="B35" i="4"/>
  <c r="B59" i="4" s="1"/>
  <c r="C54" i="8"/>
  <c r="B11" i="8"/>
  <c r="C57" i="8"/>
  <c r="B10" i="8"/>
  <c r="B57" i="8" s="1"/>
  <c r="B10" i="6"/>
  <c r="B57" i="6" s="1"/>
  <c r="C57" i="6"/>
  <c r="B57" i="1"/>
  <c r="D40" i="6"/>
  <c r="D44" i="6"/>
  <c r="D35" i="6"/>
  <c r="E62" i="8"/>
  <c r="E45" i="8"/>
  <c r="E46" i="8" s="1"/>
  <c r="E62" i="6"/>
  <c r="E23" i="6"/>
  <c r="E45" i="6"/>
  <c r="C62" i="7"/>
  <c r="B17" i="7"/>
  <c r="C23" i="7"/>
  <c r="C32" i="8"/>
  <c r="B16" i="8"/>
  <c r="B32" i="8" s="1"/>
  <c r="B34" i="8" s="1"/>
  <c r="C32" i="6"/>
  <c r="B16" i="6"/>
  <c r="B32" i="6" s="1"/>
  <c r="D34" i="7"/>
  <c r="D59" i="7" s="1"/>
  <c r="B45" i="1"/>
  <c r="B46" i="1" s="1"/>
  <c r="B62" i="1"/>
  <c r="B63" i="7"/>
  <c r="B50" i="7"/>
  <c r="B51" i="7" s="1"/>
  <c r="B33" i="7"/>
  <c r="B35" i="7" s="1"/>
  <c r="B44" i="4"/>
  <c r="B62" i="3"/>
  <c r="B44" i="3"/>
  <c r="B46" i="3" s="1"/>
  <c r="B40" i="3"/>
  <c r="B51" i="2"/>
  <c r="E40" i="6"/>
  <c r="E44" i="6"/>
  <c r="E46" i="6" s="1"/>
  <c r="E35" i="6"/>
  <c r="E59" i="6" s="1"/>
  <c r="B11" i="7"/>
  <c r="C40" i="6"/>
  <c r="B11" i="6"/>
  <c r="C44" i="6"/>
  <c r="C35" i="6"/>
  <c r="D62" i="8"/>
  <c r="D45" i="8"/>
  <c r="D46" i="8" s="1"/>
  <c r="D23" i="8"/>
  <c r="D62" i="6"/>
  <c r="D23" i="6"/>
  <c r="D45" i="6"/>
  <c r="D46" i="6" s="1"/>
  <c r="E62" i="7"/>
  <c r="C62" i="8"/>
  <c r="B17" i="8"/>
  <c r="C45" i="8"/>
  <c r="C46" i="8" s="1"/>
  <c r="C62" i="6"/>
  <c r="B17" i="6"/>
  <c r="B65" i="6" s="1"/>
  <c r="C23" i="6"/>
  <c r="C45" i="6"/>
  <c r="C32" i="7"/>
  <c r="C34" i="7" s="1"/>
  <c r="B16" i="7"/>
  <c r="B32" i="7" s="1"/>
  <c r="D34" i="8"/>
  <c r="D59" i="8" s="1"/>
  <c r="D34" i="6"/>
  <c r="D58" i="6"/>
  <c r="B23" i="4"/>
  <c r="B69" i="4" s="1"/>
  <c r="B45" i="4"/>
  <c r="B62" i="4"/>
  <c r="B62" i="2"/>
  <c r="B45" i="2"/>
  <c r="B46" i="2" s="1"/>
  <c r="B58" i="8"/>
  <c r="E51" i="7"/>
  <c r="C59" i="7"/>
  <c r="F51" i="7"/>
  <c r="C46" i="7"/>
  <c r="D58" i="7"/>
  <c r="E59" i="7"/>
  <c r="E58" i="7"/>
  <c r="B70" i="7"/>
  <c r="D51" i="7"/>
  <c r="F58" i="7"/>
  <c r="F59" i="7"/>
  <c r="B23" i="3"/>
  <c r="B69" i="3" s="1"/>
  <c r="B23" i="2"/>
  <c r="B69" i="2" s="1"/>
  <c r="B59" i="1"/>
  <c r="B23" i="1"/>
  <c r="B69" i="1" s="1"/>
  <c r="B62" i="8" l="1"/>
  <c r="B65" i="8"/>
  <c r="B23" i="7"/>
  <c r="B69" i="7" s="1"/>
  <c r="B65" i="7"/>
  <c r="B34" i="7"/>
  <c r="B64" i="1"/>
  <c r="B59" i="8"/>
  <c r="B23" i="8"/>
  <c r="B69" i="8" s="1"/>
  <c r="C64" i="8"/>
  <c r="C64" i="7"/>
  <c r="E64" i="6"/>
  <c r="E64" i="7"/>
  <c r="B45" i="7"/>
  <c r="B51" i="8"/>
  <c r="B46" i="4"/>
  <c r="B64" i="4" s="1"/>
  <c r="B45" i="8"/>
  <c r="C58" i="7"/>
  <c r="D64" i="8"/>
  <c r="C46" i="6"/>
  <c r="C64" i="6" s="1"/>
  <c r="B64" i="3"/>
  <c r="B59" i="7"/>
  <c r="B34" i="6"/>
  <c r="B58" i="6"/>
  <c r="D59" i="6"/>
  <c r="B62" i="6"/>
  <c r="B45" i="6"/>
  <c r="B23" i="6"/>
  <c r="B69" i="6" s="1"/>
  <c r="D64" i="6"/>
  <c r="B40" i="6"/>
  <c r="B35" i="6"/>
  <c r="B59" i="6" s="1"/>
  <c r="B44" i="6"/>
  <c r="B40" i="7"/>
  <c r="B44" i="7"/>
  <c r="B46" i="7" s="1"/>
  <c r="C34" i="6"/>
  <c r="C59" i="6" s="1"/>
  <c r="C58" i="6"/>
  <c r="C34" i="8"/>
  <c r="C59" i="8" s="1"/>
  <c r="C58" i="8"/>
  <c r="B62" i="7"/>
  <c r="E64" i="8"/>
  <c r="B40" i="8"/>
  <c r="B44" i="8"/>
  <c r="B64" i="2"/>
  <c r="B58" i="7"/>
  <c r="B46" i="8" l="1"/>
  <c r="B64" i="8" s="1"/>
  <c r="B46" i="6"/>
  <c r="B64" i="6" s="1"/>
  <c r="B64" i="7"/>
</calcChain>
</file>

<file path=xl/comments1.xml><?xml version="1.0" encoding="utf-8"?>
<comments xmlns="http://schemas.openxmlformats.org/spreadsheetml/2006/main">
  <authors>
    <author>catherine.mata</author>
    <author>Diego Astorga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Incluye Hogares, Albergues y Fundaciones.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Con cambios en el presupuesto hechos en Mayo 2011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Monto para OBS y para CD conjuntamente</t>
        </r>
      </text>
    </comment>
  </commentList>
</comments>
</file>

<file path=xl/comments2.xml><?xml version="1.0" encoding="utf-8"?>
<comments xmlns="http://schemas.openxmlformats.org/spreadsheetml/2006/main">
  <authors>
    <author>catherine.mata</author>
    <author>Diego Astorga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Incluye Hogares, Albergues y Fundaciones.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Desde Setiembre del 2011 se presupuestó atender a 2429 beneficiarios por mes; en vez de los 629 que se habían presupuestado atender hasta Agosto del 2011.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Con cambios en el presupuesto hechos en Octubre 2011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Monto para OBS y para CD conjuntamente</t>
        </r>
      </text>
    </comment>
  </commentList>
</comments>
</file>

<file path=xl/comments3.xml><?xml version="1.0" encoding="utf-8"?>
<comments xmlns="http://schemas.openxmlformats.org/spreadsheetml/2006/main">
  <authors>
    <author>catherine.mata</author>
    <author>Diego Astorga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Incluye Hogares, Albergues y Fundaciones.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Desde Setiembre del 2011 se presupuestó atender a 2429 beneficiarios por mes; en vez de los 629 que se habían presupuestado atender hasta Agosto del 2011.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Monto para OBS y para CD conjuntamente</t>
        </r>
      </text>
    </comment>
  </commentList>
</comments>
</file>

<file path=xl/comments4.xml><?xml version="1.0" encoding="utf-8"?>
<comments xmlns="http://schemas.openxmlformats.org/spreadsheetml/2006/main">
  <authors>
    <author>catherine.mata</author>
    <author>Diego Astorga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Incluye Hogares, Albergues y Fundaciones.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Desde Setiembre del 2011 se presupuestó atender a 2429 beneficiarios por mes; en vez de los 629 que se habían presupuestado atender hasta Agosto del 2011.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Monto para OBS y para CD conjuntamente</t>
        </r>
      </text>
    </comment>
  </commentList>
</comments>
</file>

<file path=xl/comments5.xml><?xml version="1.0" encoding="utf-8"?>
<comments xmlns="http://schemas.openxmlformats.org/spreadsheetml/2006/main">
  <authors>
    <author>catherine.mata</author>
    <author>Diego Astorga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Incluye Hogares, Albergues y Fundaciones.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Desde Setiembre del 2011 se presupuestó atender a 2429 beneficiarios por mes; en vez de los 629 que se habían presupuestado atender hasta Agosto del 2011.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Monto para OBS y para CD conjuntamente</t>
        </r>
      </text>
    </comment>
  </commentList>
</comments>
</file>

<file path=xl/comments6.xml><?xml version="1.0" encoding="utf-8"?>
<comments xmlns="http://schemas.openxmlformats.org/spreadsheetml/2006/main">
  <authors>
    <author>catherine.mata</author>
    <author>Diego Astorga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Incluye Hogares, Albergues y Fundaciones.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Desde Setiembre del 2011 se presupuestó atender a 2429 beneficiarios por mes; en vez de los 629 que se habían presupuestado atender hasta Agosto del 2011.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+ compromisos cancelados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Monto para OBS y para CD conjuntamente</t>
        </r>
      </text>
    </comment>
  </commentList>
</comments>
</file>

<file path=xl/sharedStrings.xml><?xml version="1.0" encoding="utf-8"?>
<sst xmlns="http://schemas.openxmlformats.org/spreadsheetml/2006/main" count="489" uniqueCount="139">
  <si>
    <t>Indicador</t>
  </si>
  <si>
    <t>Total Programa</t>
  </si>
  <si>
    <t>Productos</t>
  </si>
  <si>
    <t>Subsidios OBS</t>
  </si>
  <si>
    <t>Subsidios CD</t>
  </si>
  <si>
    <t>Red Cuido</t>
  </si>
  <si>
    <t>Infraestructura</t>
  </si>
  <si>
    <t>Insumos</t>
  </si>
  <si>
    <t>Efectivos 1T 2010</t>
  </si>
  <si>
    <t>Programados 1T 2011</t>
  </si>
  <si>
    <t>Efectivos 1T 2011</t>
  </si>
  <si>
    <t>Programados año 2011</t>
  </si>
  <si>
    <t>Gasto FODESAF</t>
  </si>
  <si>
    <t>En transferencias 1T 2011</t>
  </si>
  <si>
    <t>Ingresos FODESAF</t>
  </si>
  <si>
    <t>Otros insumos</t>
  </si>
  <si>
    <t>IPC (1T 2010)</t>
  </si>
  <si>
    <t>IPC (1T 2011)</t>
  </si>
  <si>
    <t>Población objetivo</t>
  </si>
  <si>
    <t>Cálculos intermedios</t>
  </si>
  <si>
    <t>Gasto efectivo real 1T 2010</t>
  </si>
  <si>
    <t>Gasto efectivo real 1T 2011</t>
  </si>
  <si>
    <t>Gasto efectivo real por beneficiario 1T 2010</t>
  </si>
  <si>
    <t>Gasto efectivo real por beneficiario 1T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</si>
  <si>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</si>
  <si>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</si>
  <si>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</si>
  <si>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</si>
  <si>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</si>
  <si>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</si>
  <si>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</si>
  <si>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</si>
  <si>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</si>
  <si>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</si>
  <si>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</si>
  <si>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</si>
  <si>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De composición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</si>
  <si>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</si>
  <si>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</si>
  <si>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</si>
  <si>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</si>
  <si>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</si>
  <si>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</si>
  <si>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</si>
  <si>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</si>
  <si>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</si>
  <si>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</si>
  <si>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</t>
  </si>
  <si>
    <t>programa</t>
  </si>
  <si>
    <t>Efectivos 2T 2010</t>
  </si>
  <si>
    <t>Programados 2T 2011</t>
  </si>
  <si>
    <t>Efectivos 2T 2011</t>
  </si>
  <si>
    <t>En transferencias 2T 2011</t>
  </si>
  <si>
    <t>IPC (2T 2010)</t>
  </si>
  <si>
    <t>IPC (2T 2011)</t>
  </si>
  <si>
    <t>Gasto efectivo real 2T 2010</t>
  </si>
  <si>
    <t>Gasto efectivo real 2T 2011</t>
  </si>
  <si>
    <t>Gasto efectivo real por beneficiario 2T 2010</t>
  </si>
  <si>
    <t>Gasto efectivo real por beneficiario 2T 2011</t>
  </si>
  <si>
    <t xml:space="preserve">Fuentes: </t>
  </si>
  <si>
    <t>Informe de Liquidación Período 2010, Departamento de Evaluación, Control y Seguimiento, FODESAF</t>
  </si>
  <si>
    <t>PAO 2011 CONAPAM</t>
  </si>
  <si>
    <t>Efectivos 3T 2010</t>
  </si>
  <si>
    <t>Programados 3T 2011</t>
  </si>
  <si>
    <t>Efectivos 3T 2011</t>
  </si>
  <si>
    <t>En transferencias 3T 2011</t>
  </si>
  <si>
    <t>IPC (3T 2010)</t>
  </si>
  <si>
    <t>IPC (3T 2011)</t>
  </si>
  <si>
    <t>Gasto efectivo real 3T 2010</t>
  </si>
  <si>
    <t>Gasto efectivo real 3T 2011</t>
  </si>
  <si>
    <t>Gasto efectivo real por beneficiario 3T 2010</t>
  </si>
  <si>
    <t>Gasto efectivo real por beneficiario 3T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</si>
  <si>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</si>
  <si>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</si>
  <si>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</si>
  <si>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</si>
  <si>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</si>
  <si>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</si>
  <si>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</si>
  <si>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</si>
  <si>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</si>
  <si>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</si>
  <si>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Informes Trimestrales 2011 CONAPAM</t>
  </si>
  <si>
    <t>Modificaciones del Presupuesto Ordinario 2011</t>
  </si>
  <si>
    <t>Efectivos 1S 2010</t>
  </si>
  <si>
    <t>Programados 1S 2011</t>
  </si>
  <si>
    <t>Efectivos 1S 2011</t>
  </si>
  <si>
    <t>En transferencias 1S 2011</t>
  </si>
  <si>
    <t>IPC (1S 2010)</t>
  </si>
  <si>
    <t>IPC (1S 2011)</t>
  </si>
  <si>
    <t>Gasto efectivo real 1S 2010</t>
  </si>
  <si>
    <t>Gasto efectivo real 1S 2011</t>
  </si>
  <si>
    <t>Gasto efectivo real por beneficiario 1S 2010</t>
  </si>
  <si>
    <t>Gasto efectivo real por beneficiario 1S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</si>
  <si>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</si>
  <si>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</si>
  <si>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</si>
  <si>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</si>
  <si>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</si>
  <si>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</si>
  <si>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</si>
  <si>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</si>
  <si>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</si>
  <si>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</si>
  <si>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Efectivos 3TA 2010</t>
  </si>
  <si>
    <t>Programados 3TA 2011</t>
  </si>
  <si>
    <t>Efectivos 3TA 2011</t>
  </si>
  <si>
    <t>En transferencias 3TA 2011</t>
  </si>
  <si>
    <t>IPC (3TA 2010)</t>
  </si>
  <si>
    <t>IPC (3TA 2011)</t>
  </si>
  <si>
    <t>Gasto efectivo real 3TA 2010</t>
  </si>
  <si>
    <t>Gasto efectivo real 3TA 2011</t>
  </si>
  <si>
    <t>Gasto efectivo real por beneficiario 3TA 2010</t>
  </si>
  <si>
    <t>Gasto efectivo real por beneficiario 3TA 2011</t>
  </si>
  <si>
    <t>Notas:</t>
  </si>
  <si>
    <t>La mayoría de los beneficiarios son los mismos todos los meses, por ello se utiliza el promedio de personas atendidas en el período.</t>
  </si>
  <si>
    <t>En el caso de beneficiarios de infraestructura se contabiliza la cantidad de obras.</t>
  </si>
  <si>
    <t>El producto de infraestructura empieza a regir hasta setiembre.</t>
  </si>
  <si>
    <t xml:space="preserve">Beneficiarios </t>
  </si>
  <si>
    <t>*De acuerdo a Desaf el giro de recursos fue de 2 361 734 156,22</t>
  </si>
  <si>
    <t>Total programa</t>
  </si>
  <si>
    <t>Indicadores aplicados a CONAPAM Segundo Trimestre 2011</t>
  </si>
  <si>
    <t>Indicadores aplicados a CONAPAM Primer Trimestre 2011</t>
  </si>
  <si>
    <t>Indicadores aplicados a CONAPAM Tercer trimestre 2011</t>
  </si>
  <si>
    <t>Indicadores aplicados a CONAPAM Cuarto trimestre 2011</t>
  </si>
  <si>
    <t>Indicadores aplicados a CONAPAM  Primer Semestre 2011</t>
  </si>
  <si>
    <t>Indicadores aplicados a CONAPAM 2011</t>
  </si>
  <si>
    <t>Indicadores aplicados a CONAPAM  Tercer Trimestre Acumulado 2011</t>
  </si>
  <si>
    <t>Población objetivo: personas mayores de 64 años pobres con alguna limitación física</t>
  </si>
  <si>
    <t xml:space="preserve">Gasto mensual programado por beneficiario (GPB) </t>
  </si>
  <si>
    <t xml:space="preserve">Gasto mensual efectivo por beneficiario (GEB) </t>
  </si>
  <si>
    <t xml:space="preserve">Gasto trimestral programado por beneficiario (GPB) </t>
  </si>
  <si>
    <t xml:space="preserve">Gasto trimestral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</si>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</sst>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____"/>
    <numFmt numFmtId="167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3" fontId="0" fillId="0" borderId="0" xfId="0" applyNumberFormat="1"/>
    <xf numFmtId="0" fontId="0" fillId="0" borderId="0" xfId="0" applyFill="1" applyAlignment="1">
      <alignment horizontal="left" indent="1"/>
    </xf>
    <xf numFmtId="3" fontId="0" fillId="0" borderId="0" xfId="0" applyNumberFormat="1" applyFill="1"/>
    <xf numFmtId="0" fontId="0" fillId="0" borderId="0" xfId="0" applyAlignment="1">
      <alignment horizontal="left" indent="1"/>
    </xf>
    <xf numFmtId="0" fontId="0" fillId="0" borderId="0" xfId="0" applyFill="1"/>
    <xf numFmtId="0" fontId="0" fillId="0" borderId="0" xfId="0" applyAlignment="1">
      <alignment horizontal="left"/>
    </xf>
    <xf numFmtId="164" fontId="0" fillId="0" borderId="0" xfId="1" applyNumberFormat="1" applyFont="1" applyFill="1"/>
    <xf numFmtId="0" fontId="0" fillId="0" borderId="0" xfId="0" applyFill="1" applyAlignment="1">
      <alignment horizontal="left"/>
    </xf>
    <xf numFmtId="0" fontId="2" fillId="0" borderId="0" xfId="0" applyFont="1"/>
    <xf numFmtId="165" fontId="0" fillId="0" borderId="0" xfId="0" applyNumberFormat="1" applyFill="1"/>
    <xf numFmtId="0" fontId="3" fillId="0" borderId="0" xfId="0" applyFont="1" applyFill="1"/>
    <xf numFmtId="166" fontId="0" fillId="0" borderId="0" xfId="0" applyNumberFormat="1" applyFill="1"/>
    <xf numFmtId="0" fontId="0" fillId="0" borderId="3" xfId="0" applyFill="1" applyBorder="1"/>
    <xf numFmtId="167" fontId="0" fillId="0" borderId="0" xfId="0" applyNumberFormat="1"/>
    <xf numFmtId="2" fontId="0" fillId="0" borderId="0" xfId="0" applyNumberFormat="1" applyFill="1"/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0" xfId="0" applyNumberFormat="1"/>
    <xf numFmtId="0" fontId="0" fillId="0" borderId="3" xfId="0" applyBorder="1"/>
    <xf numFmtId="167" fontId="0" fillId="0" borderId="0" xfId="0" applyNumberFormat="1" applyFill="1"/>
    <xf numFmtId="43" fontId="2" fillId="0" borderId="0" xfId="1" applyFont="1"/>
    <xf numFmtId="3" fontId="0" fillId="0" borderId="0" xfId="0" applyNumberFormat="1" applyFill="1" applyAlignment="1"/>
    <xf numFmtId="164" fontId="0" fillId="0" borderId="0" xfId="1" applyNumberFormat="1" applyFont="1"/>
    <xf numFmtId="164" fontId="0" fillId="0" borderId="3" xfId="1" applyNumberFormat="1" applyFont="1" applyBorder="1" applyAlignment="1">
      <alignment horizontal="center"/>
    </xf>
    <xf numFmtId="164" fontId="3" fillId="0" borderId="0" xfId="1" applyNumberFormat="1" applyFont="1"/>
    <xf numFmtId="164" fontId="0" fillId="0" borderId="0" xfId="1" applyNumberFormat="1" applyFont="1" applyFill="1" applyAlignment="1">
      <alignment horizontal="left" indent="1"/>
    </xf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 applyAlignment="1">
      <alignment horizontal="left"/>
    </xf>
    <xf numFmtId="164" fontId="2" fillId="0" borderId="0" xfId="1" applyNumberFormat="1" applyFont="1"/>
    <xf numFmtId="164" fontId="3" fillId="0" borderId="0" xfId="1" applyNumberFormat="1" applyFont="1" applyFill="1"/>
    <xf numFmtId="164" fontId="0" fillId="0" borderId="3" xfId="1" applyNumberFormat="1" applyFont="1" applyFill="1" applyBorder="1"/>
    <xf numFmtId="164" fontId="0" fillId="0" borderId="1" xfId="1" applyNumberFormat="1" applyFont="1" applyBorder="1" applyAlignment="1">
      <alignment horizontal="center"/>
    </xf>
    <xf numFmtId="164" fontId="0" fillId="0" borderId="3" xfId="1" applyNumberFormat="1" applyFont="1" applyBorder="1"/>
    <xf numFmtId="164" fontId="4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Cobertura Potencial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524403582897922E-2"/>
          <c:y val="0.17218759113444151"/>
          <c:w val="0.76780154548663071"/>
          <c:h val="0.4979203120443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Anual!$B$40:$E$40</c:f>
              <c:numCache>
                <c:formatCode>_(* #,##0_);_(* \(#,##0\);_(* "-"??_);_(@_)</c:formatCode>
                <c:ptCount val="4"/>
                <c:pt idx="0">
                  <c:v>14.249130618243194</c:v>
                </c:pt>
                <c:pt idx="1">
                  <c:v>7.005980182461041</c:v>
                </c:pt>
                <c:pt idx="2">
                  <c:v>2.7936618796106334</c:v>
                </c:pt>
                <c:pt idx="3">
                  <c:v>4.4494885561715192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Anual!$B$41:$E$41</c:f>
              <c:numCache>
                <c:formatCode>_(* #,##0_);_(* \(#,##0\);_(* "-"??_);_(@_)</c:formatCode>
                <c:ptCount val="4"/>
                <c:pt idx="0">
                  <c:v>13.3870240225821</c:v>
                </c:pt>
                <c:pt idx="1">
                  <c:v>6.3413942118817932</c:v>
                </c:pt>
                <c:pt idx="2">
                  <c:v>2.5463064006867753</c:v>
                </c:pt>
                <c:pt idx="3">
                  <c:v>4.499323410013532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884752"/>
        <c:axId val="196885144"/>
      </c:barChart>
      <c:catAx>
        <c:axId val="196884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885144"/>
        <c:crosses val="autoZero"/>
        <c:auto val="1"/>
        <c:lblAlgn val="ctr"/>
        <c:lblOffset val="100"/>
        <c:noMultiLvlLbl val="0"/>
      </c:catAx>
      <c:valAx>
        <c:axId val="19688514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688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22379860478483"/>
          <c:y val="0.81443095654709829"/>
          <c:w val="0.63555240279043035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Resultado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02E-2"/>
          <c:y val="0.17218759113444151"/>
          <c:w val="0.57337270341207347"/>
          <c:h val="0.553475867599883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</c:strCache>
            </c:strRef>
          </c:cat>
          <c:val>
            <c:numRef>
              <c:f>Anual!$B$44:$E$44</c:f>
              <c:numCache>
                <c:formatCode>_(* #,##0_);_(* \(#,##0\);_(* "-"??_);_(@_)</c:formatCode>
                <c:ptCount val="4"/>
                <c:pt idx="0">
                  <c:v>93.949760032676394</c:v>
                </c:pt>
                <c:pt idx="1">
                  <c:v>90.514018691588788</c:v>
                </c:pt>
                <c:pt idx="2">
                  <c:v>91.145833333333343</c:v>
                </c:pt>
                <c:pt idx="3">
                  <c:v>101.12001308044474</c:v>
                </c:pt>
              </c:numCache>
            </c:numRef>
          </c:val>
        </c:ser>
        <c:ser>
          <c:idx val="0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</c:strCache>
            </c:strRef>
          </c:cat>
          <c:val>
            <c:numRef>
              <c:f>Anual!$B$45:$E$45</c:f>
              <c:numCache>
                <c:formatCode>_(* #,##0_);_(* \(#,##0\);_(* "-"??_);_(@_)</c:formatCode>
                <c:ptCount val="4"/>
                <c:pt idx="0">
                  <c:v>79.112669509734431</c:v>
                </c:pt>
                <c:pt idx="1">
                  <c:v>118.20801273969795</c:v>
                </c:pt>
                <c:pt idx="2">
                  <c:v>111.84938600641088</c:v>
                </c:pt>
                <c:pt idx="3">
                  <c:v>91.52797358440894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</c:strCache>
            </c:strRef>
          </c:cat>
          <c:val>
            <c:numRef>
              <c:f>Anual!$B$46:$E$46</c:f>
              <c:numCache>
                <c:formatCode>_(* #,##0_);_(* \(#,##0\);_(* "-"??_);_(@_)</c:formatCode>
                <c:ptCount val="4"/>
                <c:pt idx="0">
                  <c:v>86.531214771205413</c:v>
                </c:pt>
                <c:pt idx="1">
                  <c:v>104.36101571564336</c:v>
                </c:pt>
                <c:pt idx="2">
                  <c:v>101.49760966987211</c:v>
                </c:pt>
                <c:pt idx="3">
                  <c:v>96.323993332426838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885928"/>
        <c:axId val="196886320"/>
      </c:barChart>
      <c:catAx>
        <c:axId val="196885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886320"/>
        <c:crosses val="autoZero"/>
        <c:auto val="1"/>
        <c:lblAlgn val="ctr"/>
        <c:lblOffset val="100"/>
        <c:noMultiLvlLbl val="0"/>
      </c:catAx>
      <c:valAx>
        <c:axId val="19688632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6885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02E-2"/>
          <c:y val="0.19480351414406533"/>
          <c:w val="0.55260914260717409"/>
          <c:h val="0.507711796442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</c:strCache>
            </c:strRef>
          </c:cat>
          <c:val>
            <c:numRef>
              <c:f>Anual!$B$49:$E$49</c:f>
              <c:numCache>
                <c:formatCode>_(* #,##0_);_(* \(#,##0\);_(* "-"??_);_(@_)</c:formatCode>
                <c:ptCount val="4"/>
                <c:pt idx="0">
                  <c:v>75.817882159044089</c:v>
                </c:pt>
                <c:pt idx="1">
                  <c:v>90.514018691588788</c:v>
                </c:pt>
                <c:pt idx="2">
                  <c:v>91.145833333333343</c:v>
                </c:pt>
                <c:pt idx="3">
                  <c:v>57.263888888888893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</c:strCache>
            </c:strRef>
          </c:cat>
          <c:val>
            <c:numRef>
              <c:f>Anual!$B$50:$E$50</c:f>
              <c:numCache>
                <c:formatCode>_(* #,##0_);_(* \(#,##0\);_(* "-"??_);_(@_)</c:formatCode>
                <c:ptCount val="4"/>
                <c:pt idx="0">
                  <c:v>79.218991266827828</c:v>
                </c:pt>
                <c:pt idx="1">
                  <c:v>118.02806902354097</c:v>
                </c:pt>
                <c:pt idx="2">
                  <c:v>112.90210506281532</c:v>
                </c:pt>
                <c:pt idx="3">
                  <c:v>91.793596827354861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</c:strCache>
            </c:strRef>
          </c:cat>
          <c:val>
            <c:numRef>
              <c:f>Anual!$B$51:$E$51</c:f>
              <c:numCache>
                <c:formatCode>_(* #,##0_);_(* \(#,##0\);_(* "-"??_);_(@_)</c:formatCode>
                <c:ptCount val="4"/>
                <c:pt idx="0">
                  <c:v>77.518436712935966</c:v>
                </c:pt>
                <c:pt idx="1">
                  <c:v>104.27104385756488</c:v>
                </c:pt>
                <c:pt idx="2">
                  <c:v>102.02396919807433</c:v>
                </c:pt>
                <c:pt idx="3">
                  <c:v>74.528742858121873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887104"/>
        <c:axId val="196887496"/>
      </c:barChart>
      <c:catAx>
        <c:axId val="19688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887496"/>
        <c:crosses val="autoZero"/>
        <c:auto val="1"/>
        <c:lblAlgn val="ctr"/>
        <c:lblOffset val="100"/>
        <c:noMultiLvlLbl val="0"/>
      </c:catAx>
      <c:valAx>
        <c:axId val="19688749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6887104"/>
        <c:crosses val="autoZero"/>
        <c:crossBetween val="between"/>
        <c:majorUnit val="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02E-2"/>
          <c:y val="0.15118910441072914"/>
          <c:w val="0.53192825896762908"/>
          <c:h val="0.55508450163241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</c:strCache>
            </c:strRef>
          </c:cat>
          <c:val>
            <c:numRef>
              <c:f>Anual!$B$57:$D$57</c:f>
              <c:numCache>
                <c:formatCode>_(* #,##0_);_(* \(#,##0\);_(* "-"??_);_(@_)</c:formatCode>
                <c:ptCount val="3"/>
                <c:pt idx="0">
                  <c:v>85.512652485129578</c:v>
                </c:pt>
                <c:pt idx="1">
                  <c:v>11.749999999999993</c:v>
                </c:pt>
                <c:pt idx="2">
                  <c:v>65.172251061821655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</c:strCache>
            </c:strRef>
          </c:cat>
          <c:val>
            <c:numRef>
              <c:f>Anual!$B$58:$D$58</c:f>
              <c:numCache>
                <c:formatCode>_(* #,##0_);_(* \(#,##0\);_(* "-"??_);_(@_)</c:formatCode>
                <c:ptCount val="3"/>
                <c:pt idx="0">
                  <c:v>163.1211348330302</c:v>
                </c:pt>
                <c:pt idx="1">
                  <c:v>17.078014308520338</c:v>
                </c:pt>
                <c:pt idx="2">
                  <c:v>66.561849789230848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</c:strCache>
            </c:strRef>
          </c:cat>
          <c:val>
            <c:numRef>
              <c:f>Anual!$B$59:$D$59</c:f>
              <c:numCache>
                <c:formatCode>_(* #,##0_);_(* \(#,##0\);_(* "-"??_);_(@_)</c:formatCode>
                <c:ptCount val="3"/>
                <c:pt idx="0">
                  <c:v>41.834603358992808</c:v>
                </c:pt>
                <c:pt idx="1">
                  <c:v>4.7677980389443597</c:v>
                </c:pt>
                <c:pt idx="2">
                  <c:v>0.84130277239433671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888280"/>
        <c:axId val="196888672"/>
      </c:barChart>
      <c:catAx>
        <c:axId val="196888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888672"/>
        <c:crosses val="autoZero"/>
        <c:auto val="1"/>
        <c:lblAlgn val="ctr"/>
        <c:lblOffset val="100"/>
        <c:noMultiLvlLbl val="0"/>
      </c:catAx>
      <c:valAx>
        <c:axId val="1968886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6888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Indicadores de Gasto Medio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7361004782570545"/>
          <c:y val="0.1725669046524943"/>
          <c:w val="0.59316312180058428"/>
          <c:h val="0.34696835291180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Anual!$B$62:$E$62</c:f>
              <c:numCache>
                <c:formatCode>_(* #,##0_);_(* \(#,##0\);_(* "-"??_);_(@_)</c:formatCode>
                <c:ptCount val="4"/>
                <c:pt idx="0">
                  <c:v>114125.46342885734</c:v>
                </c:pt>
                <c:pt idx="1">
                  <c:v>62342.943127725848</c:v>
                </c:pt>
                <c:pt idx="2">
                  <c:v>25563.675828125</c:v>
                </c:pt>
                <c:pt idx="3">
                  <c:v>169511.81641883584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Anual!$B$63:$E$63</c:f>
              <c:numCache>
                <c:formatCode>_(* #,##0_);_(* \(#,##0\);_(* "-"??_);_(@_)</c:formatCode>
                <c:ptCount val="4"/>
                <c:pt idx="0">
                  <c:v>96102.108911743926</c:v>
                </c:pt>
                <c:pt idx="1">
                  <c:v>81417.61377961337</c:v>
                </c:pt>
                <c:pt idx="2">
                  <c:v>31370.402144285716</c:v>
                </c:pt>
                <c:pt idx="3">
                  <c:v>153432.26907106474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889456"/>
        <c:axId val="196889848"/>
      </c:barChart>
      <c:catAx>
        <c:axId val="196889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889848"/>
        <c:crosses val="autoZero"/>
        <c:auto val="1"/>
        <c:lblAlgn val="ctr"/>
        <c:lblOffset val="100"/>
        <c:noMultiLvlLbl val="0"/>
      </c:catAx>
      <c:valAx>
        <c:axId val="196889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layout>
            <c:manualLayout>
              <c:xMode val="edge"/>
              <c:yMode val="edge"/>
              <c:x val="0.17635779198353913"/>
              <c:y val="0.1916934991408549"/>
            </c:manualLayout>
          </c:layout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96889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Índice</a:t>
            </a:r>
            <a:r>
              <a:rPr lang="es-CR" sz="1400" baseline="0"/>
              <a:t> de Eficiencia y Giro de Recursos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161752676384776E-2"/>
          <c:y val="0.15047545139131135"/>
          <c:w val="0.57899068283519561"/>
          <c:h val="0.60168900009142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</c:strCache>
            </c:strRef>
          </c:cat>
          <c:val>
            <c:numRef>
              <c:f>Anual!$B$64:$E$64</c:f>
              <c:numCache>
                <c:formatCode>_(* #,##0_);_(* \(#,##0\);_(* "-"??_);_(@_)</c:formatCode>
                <c:ptCount val="4"/>
                <c:pt idx="0">
                  <c:v>102.7596074493533</c:v>
                </c:pt>
                <c:pt idx="1">
                  <c:v>79.91112199779522</c:v>
                </c:pt>
                <c:pt idx="2">
                  <c:v>82.710192205897656</c:v>
                </c:pt>
                <c:pt idx="3">
                  <c:v>106.41865087019531</c:v>
                </c:pt>
              </c:numCache>
            </c:numRef>
          </c:val>
        </c:ser>
        <c:ser>
          <c:idx val="1"/>
          <c:order val="1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</c:strCache>
            </c:strRef>
          </c:cat>
          <c:val>
            <c:numRef>
              <c:f>Anual!$B$69</c:f>
              <c:numCache>
                <c:formatCode>_(* #,##0_);_(* \(#,##0\);_(* "-"??_);_(@_)</c:formatCode>
                <c:ptCount val="1"/>
                <c:pt idx="0">
                  <c:v>89.422856085253173</c:v>
                </c:pt>
              </c:numCache>
            </c:numRef>
          </c:val>
        </c:ser>
        <c:ser>
          <c:idx val="2"/>
          <c:order val="2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Subsidios OBS</c:v>
                </c:pt>
                <c:pt idx="2">
                  <c:v>Subsidios CD</c:v>
                </c:pt>
                <c:pt idx="3">
                  <c:v>Red Cuido</c:v>
                </c:pt>
              </c:strCache>
            </c:strRef>
          </c:cat>
          <c:val>
            <c:numRef>
              <c:f>Anual!$B$70</c:f>
              <c:numCache>
                <c:formatCode>_(* #,##0_);_(* \(#,##0\);_(* "-"??_);_(@_)</c:formatCode>
                <c:ptCount val="1"/>
                <c:pt idx="0">
                  <c:v>88.470300517253321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89528"/>
        <c:axId val="198189920"/>
      </c:barChart>
      <c:catAx>
        <c:axId val="198189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8189920"/>
        <c:crosses val="autoZero"/>
        <c:auto val="1"/>
        <c:lblAlgn val="ctr"/>
        <c:lblOffset val="100"/>
        <c:noMultiLvlLbl val="0"/>
      </c:catAx>
      <c:valAx>
        <c:axId val="19818992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8189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7</xdr:row>
      <xdr:rowOff>42862</xdr:rowOff>
    </xdr:from>
    <xdr:to>
      <xdr:col>11</xdr:col>
      <xdr:colOff>590550</xdr:colOff>
      <xdr:row>21</xdr:row>
      <xdr:rowOff>119062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365124</xdr:colOff>
      <xdr:row>22</xdr:row>
      <xdr:rowOff>88900</xdr:rowOff>
    </xdr:from>
    <xdr:to>
      <xdr:col>11</xdr:col>
      <xdr:colOff>640291</xdr:colOff>
      <xdr:row>36</xdr:row>
      <xdr:rowOff>165100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343958</xdr:colOff>
      <xdr:row>38</xdr:row>
      <xdr:rowOff>25400</xdr:rowOff>
    </xdr:from>
    <xdr:to>
      <xdr:col>11</xdr:col>
      <xdr:colOff>619125</xdr:colOff>
      <xdr:row>52</xdr:row>
      <xdr:rowOff>101600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418040</xdr:colOff>
      <xdr:row>53</xdr:row>
      <xdr:rowOff>184150</xdr:rowOff>
    </xdr:from>
    <xdr:to>
      <xdr:col>11</xdr:col>
      <xdr:colOff>693207</xdr:colOff>
      <xdr:row>70</xdr:row>
      <xdr:rowOff>69850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576791</xdr:colOff>
      <xdr:row>71</xdr:row>
      <xdr:rowOff>141816</xdr:rowOff>
    </xdr:from>
    <xdr:to>
      <xdr:col>12</xdr:col>
      <xdr:colOff>486834</xdr:colOff>
      <xdr:row>87</xdr:row>
      <xdr:rowOff>179915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640291</xdr:colOff>
      <xdr:row>87</xdr:row>
      <xdr:rowOff>35982</xdr:rowOff>
    </xdr:from>
    <xdr:to>
      <xdr:col>6</xdr:col>
      <xdr:colOff>349250</xdr:colOff>
      <xdr:row>103</xdr:row>
      <xdr:rowOff>126999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0.00121</cdr:x>
      <cdr:y>0.90148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53" y="2472940"/>
          <a:ext cx="4567505" cy="270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0.90148</cdr:y>
    </cdr:from>
    <cdr:to>
      <cdr:x>0.99902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72940"/>
          <a:ext cx="4567505" cy="270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 </a:t>
          </a:r>
          <a:r>
            <a:rPr lang="es-CR" sz="900"/>
            <a:t>DESAF.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0.89815</cdr:y>
    </cdr:from>
    <cdr:to>
      <cdr:x>0.99902</cdr:x>
      <cdr:y>0.99667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63800"/>
          <a:ext cx="4567505" cy="270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0.00098</cdr:x>
      <cdr:y>0.91349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495" y="2853940"/>
          <a:ext cx="4567505" cy="270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0.04217</cdr:x>
      <cdr:y>0.91273</cdr:y>
    </cdr:from>
    <cdr:to>
      <cdr:x>0.9614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9550" y="2826423"/>
          <a:ext cx="4567505" cy="270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 </a:t>
          </a:r>
          <a:r>
            <a:rPr lang="es-CR" sz="900"/>
            <a:t>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0.07037</cdr:x>
      <cdr:y>0.88604</cdr:y>
    </cdr:from>
    <cdr:to>
      <cdr:x>0.94312</cdr:x>
      <cdr:y>0.97214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8300" y="2781300"/>
          <a:ext cx="4567505" cy="270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workbookViewId="0">
      <selection activeCell="I9" sqref="I9"/>
    </sheetView>
  </sheetViews>
  <sheetFormatPr baseColWidth="10" defaultRowHeight="15" x14ac:dyDescent="0.25"/>
  <cols>
    <col min="1" max="1" width="55.140625" style="25" customWidth="1"/>
    <col min="2" max="2" width="16.85546875" style="25" bestFit="1" customWidth="1"/>
    <col min="3" max="3" width="17" style="25" bestFit="1" customWidth="1"/>
    <col min="4" max="5" width="15.140625" style="25" bestFit="1" customWidth="1"/>
    <col min="6" max="6" width="14.5703125" style="25" customWidth="1"/>
    <col min="7" max="7" width="12.7109375" style="25" bestFit="1" customWidth="1"/>
    <col min="8" max="8" width="13.7109375" style="25" bestFit="1" customWidth="1"/>
    <col min="9" max="16384" width="11.42578125" style="25"/>
  </cols>
  <sheetData>
    <row r="2" spans="1:6" ht="15.75" x14ac:dyDescent="0.25">
      <c r="A2" s="37" t="s">
        <v>122</v>
      </c>
      <c r="B2" s="37"/>
      <c r="C2" s="37"/>
      <c r="D2" s="37"/>
      <c r="E2" s="37"/>
    </row>
    <row r="4" spans="1:6" ht="15" customHeight="1" x14ac:dyDescent="0.25">
      <c r="A4" s="38" t="s">
        <v>0</v>
      </c>
      <c r="B4" s="40" t="s">
        <v>1</v>
      </c>
      <c r="C4" s="42" t="s">
        <v>2</v>
      </c>
      <c r="D4" s="42"/>
      <c r="E4" s="42"/>
      <c r="F4" s="42"/>
    </row>
    <row r="5" spans="1:6" ht="15.75" thickBot="1" x14ac:dyDescent="0.3">
      <c r="A5" s="39"/>
      <c r="B5" s="41"/>
      <c r="C5" s="26" t="s">
        <v>3</v>
      </c>
      <c r="D5" s="26" t="s">
        <v>4</v>
      </c>
      <c r="E5" s="26" t="s">
        <v>5</v>
      </c>
      <c r="F5" s="26" t="s">
        <v>6</v>
      </c>
    </row>
    <row r="6" spans="1:6" ht="15.75" thickTop="1" x14ac:dyDescent="0.25"/>
    <row r="7" spans="1:6" x14ac:dyDescent="0.25">
      <c r="A7" s="27" t="s">
        <v>7</v>
      </c>
    </row>
    <row r="9" spans="1:6" x14ac:dyDescent="0.25">
      <c r="A9" s="25" t="s">
        <v>118</v>
      </c>
    </row>
    <row r="10" spans="1:6" x14ac:dyDescent="0.25">
      <c r="A10" s="28" t="s">
        <v>8</v>
      </c>
      <c r="B10" s="9">
        <f>SUM(C10:F10)</f>
        <v>1631</v>
      </c>
      <c r="C10" s="9">
        <f>3863/3</f>
        <v>1287.6666666666667</v>
      </c>
      <c r="D10" s="9">
        <f>1030/3</f>
        <v>343.33333333333331</v>
      </c>
      <c r="E10" s="9">
        <v>0</v>
      </c>
      <c r="F10" s="9"/>
    </row>
    <row r="11" spans="1:6" x14ac:dyDescent="0.25">
      <c r="A11" s="29" t="s">
        <v>9</v>
      </c>
      <c r="B11" s="9">
        <f>SUM(C11:F11)</f>
        <v>2874</v>
      </c>
      <c r="C11" s="9">
        <f>((1539+66)*3)/3</f>
        <v>1605</v>
      </c>
      <c r="D11" s="9">
        <f>640*3/3</f>
        <v>640</v>
      </c>
      <c r="E11" s="9">
        <f>629*3/3</f>
        <v>629</v>
      </c>
      <c r="F11" s="9"/>
    </row>
    <row r="12" spans="1:6" x14ac:dyDescent="0.25">
      <c r="A12" s="29" t="s">
        <v>10</v>
      </c>
      <c r="B12" s="9">
        <f>SUM(C12:F12)</f>
        <v>1623</v>
      </c>
      <c r="C12" s="9">
        <v>1102</v>
      </c>
      <c r="D12" s="9">
        <v>450</v>
      </c>
      <c r="E12" s="9">
        <v>71</v>
      </c>
      <c r="F12" s="9"/>
    </row>
    <row r="13" spans="1:6" x14ac:dyDescent="0.25">
      <c r="A13" s="29" t="s">
        <v>11</v>
      </c>
      <c r="B13" s="9">
        <f>SUM(C13:F13)</f>
        <v>2874</v>
      </c>
      <c r="C13" s="9">
        <f>1539+66</f>
        <v>1605</v>
      </c>
      <c r="D13" s="9">
        <f>640</f>
        <v>640</v>
      </c>
      <c r="E13" s="9">
        <f>629</f>
        <v>629</v>
      </c>
      <c r="F13" s="9"/>
    </row>
    <row r="14" spans="1:6" x14ac:dyDescent="0.25">
      <c r="B14" s="9"/>
      <c r="C14" s="9"/>
      <c r="D14" s="9"/>
      <c r="E14" s="9"/>
      <c r="F14" s="9"/>
    </row>
    <row r="15" spans="1:6" x14ac:dyDescent="0.25">
      <c r="A15" s="30" t="s">
        <v>12</v>
      </c>
      <c r="B15" s="9"/>
      <c r="C15" s="9"/>
      <c r="D15" s="9"/>
      <c r="E15" s="9"/>
      <c r="F15" s="9"/>
    </row>
    <row r="16" spans="1:6" x14ac:dyDescent="0.25">
      <c r="A16" s="28" t="s">
        <v>8</v>
      </c>
      <c r="B16" s="9">
        <f>SUM(C16:E16)</f>
        <v>316978046.92000002</v>
      </c>
      <c r="C16" s="9">
        <f>94475806.45+96711290+95029925.12</f>
        <v>286217021.56999999</v>
      </c>
      <c r="D16" s="9">
        <f>10002580.65+10067799.54+10690645.16</f>
        <v>30761025.349999998</v>
      </c>
      <c r="E16" s="9">
        <v>0</v>
      </c>
      <c r="F16" s="9"/>
    </row>
    <row r="17" spans="1:7" x14ac:dyDescent="0.25">
      <c r="A17" s="29" t="s">
        <v>9</v>
      </c>
      <c r="B17" s="9">
        <f>SUM(C17:E17)</f>
        <v>577028887.5</v>
      </c>
      <c r="C17" s="9">
        <f>1539*65239*3+66*65239*3</f>
        <v>314125785</v>
      </c>
      <c r="D17" s="9">
        <f>640*26095*3</f>
        <v>50102400</v>
      </c>
      <c r="E17" s="9">
        <f>212800702.5</f>
        <v>212800702.5</v>
      </c>
      <c r="F17" s="9"/>
    </row>
    <row r="18" spans="1:7" x14ac:dyDescent="0.25">
      <c r="A18" s="29" t="s">
        <v>10</v>
      </c>
      <c r="B18" s="9">
        <f>SUM(C18:E18)</f>
        <v>274062431.06999999</v>
      </c>
      <c r="C18" s="9">
        <v>214807522.06999999</v>
      </c>
      <c r="D18" s="9">
        <v>35134482</v>
      </c>
      <c r="E18" s="9">
        <v>24120427</v>
      </c>
      <c r="F18" s="9"/>
    </row>
    <row r="19" spans="1:7" x14ac:dyDescent="0.25">
      <c r="A19" s="29" t="s">
        <v>11</v>
      </c>
      <c r="B19" s="9">
        <f>SUM(C19:E19)</f>
        <v>2308115550</v>
      </c>
      <c r="C19" s="9">
        <f>1539*65239*12+66*65239*12</f>
        <v>1256503140</v>
      </c>
      <c r="D19" s="9">
        <f>640*26095*12</f>
        <v>200409600</v>
      </c>
      <c r="E19" s="9">
        <v>851202810</v>
      </c>
      <c r="F19" s="9"/>
    </row>
    <row r="20" spans="1:7" x14ac:dyDescent="0.25">
      <c r="A20" s="29" t="s">
        <v>13</v>
      </c>
      <c r="B20" s="9">
        <f>SUM(C20:E20)</f>
        <v>274062431.06999999</v>
      </c>
      <c r="C20" s="9">
        <f>C18</f>
        <v>214807522.06999999</v>
      </c>
      <c r="D20" s="9">
        <f t="shared" ref="D20:E20" si="0">D18</f>
        <v>35134482</v>
      </c>
      <c r="E20" s="9">
        <f t="shared" si="0"/>
        <v>24120427</v>
      </c>
      <c r="F20" s="9"/>
    </row>
    <row r="21" spans="1:7" x14ac:dyDescent="0.25">
      <c r="B21" s="9"/>
      <c r="C21" s="9"/>
      <c r="D21" s="9"/>
      <c r="E21" s="9"/>
      <c r="F21" s="9"/>
    </row>
    <row r="22" spans="1:7" x14ac:dyDescent="0.25">
      <c r="A22" s="31" t="s">
        <v>14</v>
      </c>
      <c r="B22" s="9"/>
      <c r="C22" s="9"/>
      <c r="D22" s="9"/>
      <c r="E22" s="9"/>
      <c r="F22" s="9"/>
    </row>
    <row r="23" spans="1:7" x14ac:dyDescent="0.25">
      <c r="A23" s="28" t="s">
        <v>9</v>
      </c>
      <c r="B23" s="9">
        <f>B17</f>
        <v>577028887.5</v>
      </c>
      <c r="C23" s="9">
        <f t="shared" ref="C23:E23" si="1">C17</f>
        <v>314125785</v>
      </c>
      <c r="D23" s="9">
        <f t="shared" si="1"/>
        <v>50102400</v>
      </c>
      <c r="E23" s="9">
        <f t="shared" si="1"/>
        <v>212800702.5</v>
      </c>
      <c r="F23" s="9"/>
      <c r="G23" s="32"/>
    </row>
    <row r="24" spans="1:7" x14ac:dyDescent="0.25">
      <c r="A24" s="28" t="s">
        <v>10</v>
      </c>
      <c r="B24" s="9">
        <f>SUM(C24:E24)</f>
        <v>577028887</v>
      </c>
      <c r="C24" s="9">
        <v>364228186</v>
      </c>
      <c r="D24" s="9"/>
      <c r="E24" s="9">
        <v>212800701</v>
      </c>
      <c r="F24" s="9"/>
      <c r="G24" s="32"/>
    </row>
    <row r="25" spans="1:7" x14ac:dyDescent="0.25">
      <c r="A25" s="9"/>
      <c r="B25" s="9"/>
      <c r="C25" s="9"/>
      <c r="D25" s="9"/>
      <c r="E25" s="9"/>
      <c r="F25" s="9"/>
    </row>
    <row r="26" spans="1:7" x14ac:dyDescent="0.25">
      <c r="A26" s="9" t="s">
        <v>15</v>
      </c>
      <c r="B26" s="9"/>
      <c r="C26" s="9"/>
      <c r="D26" s="9"/>
      <c r="E26" s="9"/>
      <c r="F26" s="9"/>
    </row>
    <row r="27" spans="1:7" x14ac:dyDescent="0.25">
      <c r="A27" s="28" t="s">
        <v>16</v>
      </c>
      <c r="B27" s="9">
        <v>1.3815129375000001</v>
      </c>
      <c r="C27" s="9">
        <v>1.3815129374999999</v>
      </c>
      <c r="D27" s="9">
        <v>1.3815129374999999</v>
      </c>
      <c r="E27" s="9">
        <v>1.3815129374999999</v>
      </c>
      <c r="F27" s="9"/>
    </row>
    <row r="28" spans="1:7" x14ac:dyDescent="0.25">
      <c r="A28" s="28" t="s">
        <v>17</v>
      </c>
      <c r="B28" s="9">
        <v>1.4459435845999999</v>
      </c>
      <c r="C28" s="9">
        <v>1.4459435845999999</v>
      </c>
      <c r="D28" s="9">
        <v>1.4459435845999999</v>
      </c>
      <c r="E28" s="9">
        <v>1.4459435845999999</v>
      </c>
      <c r="F28" s="9"/>
    </row>
    <row r="29" spans="1:7" x14ac:dyDescent="0.25">
      <c r="A29" s="28" t="s">
        <v>18</v>
      </c>
      <c r="B29" s="9">
        <v>22909</v>
      </c>
      <c r="C29" s="9">
        <v>22909</v>
      </c>
      <c r="D29" s="9">
        <v>22909</v>
      </c>
      <c r="E29" s="9">
        <v>22909</v>
      </c>
      <c r="F29" s="9"/>
    </row>
    <row r="30" spans="1:7" x14ac:dyDescent="0.25">
      <c r="A30" s="9"/>
      <c r="B30" s="9"/>
      <c r="C30" s="9"/>
      <c r="D30" s="9"/>
      <c r="E30" s="9"/>
      <c r="F30" s="9"/>
    </row>
    <row r="31" spans="1:7" x14ac:dyDescent="0.25">
      <c r="A31" s="33" t="s">
        <v>19</v>
      </c>
      <c r="B31" s="9"/>
      <c r="C31" s="9"/>
      <c r="D31" s="9"/>
      <c r="E31" s="9"/>
      <c r="F31" s="9"/>
    </row>
    <row r="32" spans="1:7" x14ac:dyDescent="0.25">
      <c r="A32" s="9" t="s">
        <v>20</v>
      </c>
      <c r="B32" s="9">
        <f>B16/B27</f>
        <v>229442691.64326954</v>
      </c>
      <c r="C32" s="9">
        <f>C16/C27</f>
        <v>207176504.68618938</v>
      </c>
      <c r="D32" s="9">
        <f>D16/D27</f>
        <v>22266186.957080159</v>
      </c>
      <c r="E32" s="9">
        <f>E16/E27</f>
        <v>0</v>
      </c>
      <c r="F32" s="9"/>
    </row>
    <row r="33" spans="1:6" x14ac:dyDescent="0.25">
      <c r="A33" s="9" t="s">
        <v>21</v>
      </c>
      <c r="B33" s="9">
        <f>B18/B28</f>
        <v>189538813.26277024</v>
      </c>
      <c r="C33" s="9">
        <f>C18/C28</f>
        <v>148558715.81561288</v>
      </c>
      <c r="D33" s="9">
        <f>D18/D28</f>
        <v>24298653.40128015</v>
      </c>
      <c r="E33" s="9">
        <f>E18/E28</f>
        <v>16681444.045877198</v>
      </c>
      <c r="F33" s="9"/>
    </row>
    <row r="34" spans="1:6" x14ac:dyDescent="0.25">
      <c r="A34" s="9" t="s">
        <v>22</v>
      </c>
      <c r="B34" s="9">
        <f>$B$32/(B10*3)</f>
        <v>46892.027721902625</v>
      </c>
      <c r="C34" s="9">
        <f>C32/(C10*3)</f>
        <v>53630.987493189074</v>
      </c>
      <c r="D34" s="9">
        <f t="shared" ref="D34:E34" si="2">D32/(D10*3)</f>
        <v>21617.657239883651</v>
      </c>
      <c r="E34" s="9" t="e">
        <f t="shared" si="2"/>
        <v>#DIV/0!</v>
      </c>
      <c r="F34" s="9"/>
    </row>
    <row r="35" spans="1:6" x14ac:dyDescent="0.25">
      <c r="A35" s="9" t="s">
        <v>23</v>
      </c>
      <c r="B35" s="9">
        <f>$B$33/(B12*3)</f>
        <v>38927.667542158604</v>
      </c>
      <c r="C35" s="9">
        <f>C33/(C12*3)</f>
        <v>44936.090688328157</v>
      </c>
      <c r="D35" s="9">
        <f t="shared" ref="D35:E35" si="3">D33/(D12*3)</f>
        <v>17999.002519466776</v>
      </c>
      <c r="E35" s="9">
        <f t="shared" si="3"/>
        <v>78316.638713038483</v>
      </c>
      <c r="F35" s="9"/>
    </row>
    <row r="36" spans="1:6" x14ac:dyDescent="0.25">
      <c r="A36" s="9"/>
      <c r="B36" s="9"/>
      <c r="C36" s="9"/>
      <c r="D36" s="9"/>
      <c r="E36" s="9"/>
      <c r="F36" s="9"/>
    </row>
    <row r="37" spans="1:6" x14ac:dyDescent="0.25">
      <c r="A37" s="27" t="s">
        <v>24</v>
      </c>
      <c r="B37" s="9"/>
      <c r="C37" s="9"/>
      <c r="D37" s="9"/>
      <c r="E37" s="9"/>
      <c r="F37" s="9"/>
    </row>
    <row r="38" spans="1:6" x14ac:dyDescent="0.25">
      <c r="B38" s="9"/>
      <c r="C38" s="9"/>
      <c r="D38" s="9"/>
      <c r="E38" s="9"/>
      <c r="F38" s="9"/>
    </row>
    <row r="39" spans="1:6" x14ac:dyDescent="0.25">
      <c r="A39" s="25" t="s">
        <v>25</v>
      </c>
      <c r="B39" s="9"/>
      <c r="C39" s="9"/>
      <c r="D39" s="9"/>
      <c r="E39" s="9"/>
      <c r="F39" s="9"/>
    </row>
    <row r="40" spans="1:6" x14ac:dyDescent="0.25">
      <c r="A40" s="25" t="s">
        <v>26</v>
      </c>
      <c r="B40" s="9">
        <f>B11/B29*100</f>
        <v>12.545287878126501</v>
      </c>
      <c r="C40" s="9">
        <f>C11/C29*100</f>
        <v>7.005980182461041</v>
      </c>
      <c r="D40" s="9">
        <f>D11/D29*100</f>
        <v>2.7936618796106334</v>
      </c>
      <c r="E40" s="9">
        <f>E11/E29*100</f>
        <v>2.7456458160548256</v>
      </c>
      <c r="F40" s="9"/>
    </row>
    <row r="41" spans="1:6" x14ac:dyDescent="0.25">
      <c r="A41" s="25" t="s">
        <v>27</v>
      </c>
      <c r="B41" s="9">
        <f>B12/B29*100</f>
        <v>7.0845519228250904</v>
      </c>
      <c r="C41" s="9">
        <f>C12/C29*100</f>
        <v>4.8103365489545595</v>
      </c>
      <c r="D41" s="9">
        <f>D12/D29*100</f>
        <v>1.9642935091012268</v>
      </c>
      <c r="E41" s="9">
        <f>E12/E29*100</f>
        <v>0.30992186476930461</v>
      </c>
      <c r="F41" s="9"/>
    </row>
    <row r="42" spans="1:6" x14ac:dyDescent="0.25">
      <c r="B42" s="9"/>
      <c r="C42" s="9"/>
      <c r="D42" s="9"/>
      <c r="E42" s="9"/>
      <c r="F42" s="9"/>
    </row>
    <row r="43" spans="1:6" x14ac:dyDescent="0.25">
      <c r="A43" s="25" t="s">
        <v>28</v>
      </c>
      <c r="B43" s="9"/>
      <c r="C43" s="9"/>
      <c r="D43" s="9"/>
      <c r="E43" s="9"/>
      <c r="F43" s="9"/>
    </row>
    <row r="44" spans="1:6" x14ac:dyDescent="0.25">
      <c r="A44" s="25" t="s">
        <v>29</v>
      </c>
      <c r="B44" s="9">
        <f>B12/B11*100</f>
        <v>56.471816283924845</v>
      </c>
      <c r="C44" s="9">
        <f>C12/C11*100</f>
        <v>68.660436137071656</v>
      </c>
      <c r="D44" s="9">
        <f>D12/D11*100</f>
        <v>70.3125</v>
      </c>
      <c r="E44" s="9">
        <f>E12/E11*100</f>
        <v>11.287758346581876</v>
      </c>
      <c r="F44" s="9"/>
    </row>
    <row r="45" spans="1:6" x14ac:dyDescent="0.25">
      <c r="A45" s="25" t="s">
        <v>30</v>
      </c>
      <c r="B45" s="9">
        <f>B18/B17*100</f>
        <v>47.495443816926759</v>
      </c>
      <c r="C45" s="9">
        <f>C18/C17*100</f>
        <v>68.382645528446503</v>
      </c>
      <c r="D45" s="9">
        <f>D18/D17*100</f>
        <v>70.125347288752636</v>
      </c>
      <c r="E45" s="9">
        <f>E18/E17*100</f>
        <v>11.334749705537273</v>
      </c>
      <c r="F45" s="9"/>
    </row>
    <row r="46" spans="1:6" x14ac:dyDescent="0.25">
      <c r="A46" s="9" t="s">
        <v>31</v>
      </c>
      <c r="B46" s="9">
        <f>AVERAGE(B44:B45)</f>
        <v>51.983630050425802</v>
      </c>
      <c r="C46" s="9">
        <f>AVERAGE(C44:C45)</f>
        <v>68.521540832759086</v>
      </c>
      <c r="D46" s="9">
        <f>AVERAGE(D44:D45)</f>
        <v>70.218923644376318</v>
      </c>
      <c r="E46" s="9">
        <f>AVERAGE(E44:E45)</f>
        <v>11.311254026059576</v>
      </c>
      <c r="F46" s="9"/>
    </row>
    <row r="47" spans="1:6" x14ac:dyDescent="0.25">
      <c r="A47" s="9"/>
      <c r="B47" s="9"/>
      <c r="C47" s="9"/>
      <c r="D47" s="9"/>
      <c r="E47" s="9"/>
      <c r="F47" s="9"/>
    </row>
    <row r="48" spans="1:6" x14ac:dyDescent="0.25">
      <c r="A48" s="9" t="s">
        <v>32</v>
      </c>
      <c r="B48" s="9"/>
      <c r="C48" s="9"/>
      <c r="D48" s="9"/>
      <c r="E48" s="9"/>
      <c r="F48" s="9"/>
    </row>
    <row r="49" spans="1:6" x14ac:dyDescent="0.25">
      <c r="A49" s="9" t="s">
        <v>33</v>
      </c>
      <c r="B49" s="9">
        <f>(B12/(B13))*100</f>
        <v>56.471816283924845</v>
      </c>
      <c r="C49" s="9">
        <f t="shared" ref="C49:E49" si="4">(C12/(C13))*100</f>
        <v>68.660436137071656</v>
      </c>
      <c r="D49" s="9">
        <f t="shared" si="4"/>
        <v>70.3125</v>
      </c>
      <c r="E49" s="9">
        <f t="shared" si="4"/>
        <v>11.287758346581876</v>
      </c>
      <c r="F49" s="9"/>
    </row>
    <row r="50" spans="1:6" x14ac:dyDescent="0.25">
      <c r="A50" s="9" t="s">
        <v>34</v>
      </c>
      <c r="B50" s="9">
        <f>B18/B19*100</f>
        <v>11.87386095423169</v>
      </c>
      <c r="C50" s="9">
        <f>C18/C19*100</f>
        <v>17.095661382111626</v>
      </c>
      <c r="D50" s="9">
        <f>D18/D19*100</f>
        <v>17.531336822188159</v>
      </c>
      <c r="E50" s="9">
        <f>E18/E19*100</f>
        <v>2.8336874263843184</v>
      </c>
      <c r="F50" s="9"/>
    </row>
    <row r="51" spans="1:6" x14ac:dyDescent="0.25">
      <c r="A51" s="9" t="s">
        <v>35</v>
      </c>
      <c r="B51" s="9">
        <f>(B49+B50)/2</f>
        <v>34.17283861907827</v>
      </c>
      <c r="C51" s="9">
        <f>(C49+C50)/2</f>
        <v>42.878048759591643</v>
      </c>
      <c r="D51" s="9">
        <f>(D49+D50)/2</f>
        <v>43.921918411094083</v>
      </c>
      <c r="E51" s="9">
        <f>(E49+E50)/2</f>
        <v>7.0607228864830969</v>
      </c>
      <c r="F51" s="9"/>
    </row>
    <row r="52" spans="1:6" x14ac:dyDescent="0.25">
      <c r="A52" s="9"/>
      <c r="B52" s="9"/>
      <c r="C52" s="9"/>
      <c r="D52" s="9"/>
      <c r="E52" s="9"/>
      <c r="F52" s="9"/>
    </row>
    <row r="53" spans="1:6" x14ac:dyDescent="0.25">
      <c r="A53" s="9" t="s">
        <v>36</v>
      </c>
      <c r="B53" s="9"/>
      <c r="C53" s="9"/>
      <c r="D53" s="9"/>
      <c r="E53" s="9"/>
      <c r="F53" s="9"/>
    </row>
    <row r="54" spans="1:6" x14ac:dyDescent="0.25">
      <c r="A54" s="9" t="s">
        <v>37</v>
      </c>
      <c r="B54" s="9">
        <f>B20/B18*100</f>
        <v>100</v>
      </c>
      <c r="C54" s="9">
        <f>C20/C18*100</f>
        <v>100</v>
      </c>
      <c r="D54" s="9">
        <f>D20/D18*100</f>
        <v>100</v>
      </c>
      <c r="E54" s="9">
        <f>E20/E18*100</f>
        <v>100</v>
      </c>
      <c r="F54" s="9"/>
    </row>
    <row r="55" spans="1:6" x14ac:dyDescent="0.25">
      <c r="A55" s="9"/>
      <c r="B55" s="9"/>
      <c r="C55" s="9"/>
      <c r="D55" s="9"/>
      <c r="E55" s="9"/>
      <c r="F55" s="9"/>
    </row>
    <row r="56" spans="1:6" x14ac:dyDescent="0.25">
      <c r="A56" s="9" t="s">
        <v>38</v>
      </c>
      <c r="B56" s="9"/>
      <c r="C56" s="9"/>
      <c r="D56" s="9"/>
      <c r="E56" s="9"/>
      <c r="F56" s="9"/>
    </row>
    <row r="57" spans="1:6" x14ac:dyDescent="0.25">
      <c r="A57" s="9" t="s">
        <v>39</v>
      </c>
      <c r="B57" s="9">
        <f>((B12/B10)-1)*100</f>
        <v>-0.49049662783567927</v>
      </c>
      <c r="C57" s="9">
        <f>((C12/C10)-1)*100</f>
        <v>-14.418845456898788</v>
      </c>
      <c r="D57" s="9">
        <f>((D12/D10)-1)*100</f>
        <v>31.067961165048551</v>
      </c>
      <c r="E57" s="9" t="e">
        <f>((E12/E10)-1)*100</f>
        <v>#DIV/0!</v>
      </c>
      <c r="F57" s="9"/>
    </row>
    <row r="58" spans="1:6" x14ac:dyDescent="0.25">
      <c r="A58" s="9" t="s">
        <v>40</v>
      </c>
      <c r="B58" s="9">
        <f>((B33/B32)-1)*100</f>
        <v>-17.391653704333553</v>
      </c>
      <c r="C58" s="9">
        <f>((C33/C32)-1)*100</f>
        <v>-28.293646984422761</v>
      </c>
      <c r="D58" s="9">
        <f>((D33/D32)-1)*100</f>
        <v>9.128039965341749</v>
      </c>
      <c r="E58" s="9" t="e">
        <f>((E33/E32)-1)*100</f>
        <v>#DIV/0!</v>
      </c>
      <c r="F58" s="9"/>
    </row>
    <row r="59" spans="1:6" x14ac:dyDescent="0.25">
      <c r="A59" s="9" t="s">
        <v>41</v>
      </c>
      <c r="B59" s="9">
        <f>((B35/B34)-1)*100</f>
        <v>-16.984465306080111</v>
      </c>
      <c r="C59" s="9">
        <f>((C35/C34)-1)*100</f>
        <v>-16.212449576777111</v>
      </c>
      <c r="D59" s="9">
        <f>((D35/D34)-1)*100</f>
        <v>-16.739347285702223</v>
      </c>
      <c r="E59" s="9" t="e">
        <f>((E35/E34)-1)*100</f>
        <v>#DIV/0!</v>
      </c>
      <c r="F59" s="9"/>
    </row>
    <row r="60" spans="1:6" x14ac:dyDescent="0.25">
      <c r="A60" s="9"/>
      <c r="B60" s="9"/>
      <c r="C60" s="9"/>
      <c r="D60" s="9"/>
      <c r="E60" s="9"/>
      <c r="F60" s="9"/>
    </row>
    <row r="61" spans="1:6" x14ac:dyDescent="0.25">
      <c r="A61" s="9" t="s">
        <v>42</v>
      </c>
      <c r="B61" s="9"/>
      <c r="C61" s="9"/>
      <c r="D61" s="9"/>
      <c r="E61" s="9"/>
      <c r="F61" s="9"/>
    </row>
    <row r="62" spans="1:6" x14ac:dyDescent="0.25">
      <c r="A62" s="9" t="s">
        <v>129</v>
      </c>
      <c r="B62" s="9">
        <f>B17/(B11*3)</f>
        <v>66925.178322894921</v>
      </c>
      <c r="C62" s="9">
        <f t="shared" ref="C62:E62" si="5">C17/(C11*3)</f>
        <v>65239</v>
      </c>
      <c r="D62" s="9">
        <f t="shared" si="5"/>
        <v>26095</v>
      </c>
      <c r="E62" s="9">
        <f t="shared" si="5"/>
        <v>112771.96740858506</v>
      </c>
      <c r="F62" s="9"/>
    </row>
    <row r="63" spans="1:6" x14ac:dyDescent="0.25">
      <c r="A63" s="9" t="s">
        <v>130</v>
      </c>
      <c r="B63" s="9">
        <f>$B$18/(B12*3)</f>
        <v>56287.211146025875</v>
      </c>
      <c r="C63" s="9">
        <f>C18/(C12*3)</f>
        <v>64975.052047791891</v>
      </c>
      <c r="D63" s="9">
        <f t="shared" ref="D63:E63" si="6">D18/(D12*3)</f>
        <v>26025.542222222222</v>
      </c>
      <c r="E63" s="9">
        <f t="shared" si="6"/>
        <v>113241.44131455399</v>
      </c>
      <c r="F63" s="9"/>
    </row>
    <row r="64" spans="1:6" x14ac:dyDescent="0.25">
      <c r="A64" s="9" t="s">
        <v>43</v>
      </c>
      <c r="B64" s="9">
        <f>(B62/B63)*B46</f>
        <v>61.808244540141501</v>
      </c>
      <c r="C64" s="9">
        <f>(C62/C63)*C46</f>
        <v>68.799895675347713</v>
      </c>
      <c r="D64" s="9">
        <f>(D62/D63)*D46</f>
        <v>70.406326095116469</v>
      </c>
      <c r="E64" s="9">
        <f>E62/E63*E46</f>
        <v>11.26436007498145</v>
      </c>
      <c r="F64" s="9"/>
    </row>
    <row r="65" spans="1:7" x14ac:dyDescent="0.25">
      <c r="A65" s="9" t="s">
        <v>131</v>
      </c>
      <c r="B65" s="9">
        <f>B17/B11</f>
        <v>200775.53496868475</v>
      </c>
      <c r="C65" s="9">
        <f t="shared" ref="C65:E65" si="7">C17/C11</f>
        <v>195717</v>
      </c>
      <c r="D65" s="9">
        <f t="shared" si="7"/>
        <v>78285</v>
      </c>
      <c r="E65" s="9">
        <f t="shared" si="7"/>
        <v>338315.90222575516</v>
      </c>
      <c r="F65" s="9"/>
    </row>
    <row r="66" spans="1:7" x14ac:dyDescent="0.25">
      <c r="A66" s="9" t="s">
        <v>132</v>
      </c>
      <c r="B66" s="9">
        <f>B18/B12</f>
        <v>168861.63343807764</v>
      </c>
      <c r="C66" s="9">
        <f t="shared" ref="C66:E66" si="8">C18/C12</f>
        <v>194925.15614337567</v>
      </c>
      <c r="D66" s="9">
        <f t="shared" si="8"/>
        <v>78076.626666666663</v>
      </c>
      <c r="E66" s="9">
        <f t="shared" si="8"/>
        <v>339724.32394366199</v>
      </c>
      <c r="F66" s="9"/>
    </row>
    <row r="67" spans="1:7" x14ac:dyDescent="0.25">
      <c r="A67" s="9"/>
      <c r="B67" s="9"/>
      <c r="C67" s="9"/>
      <c r="D67" s="9"/>
      <c r="E67" s="9"/>
      <c r="F67" s="9"/>
    </row>
    <row r="68" spans="1:7" x14ac:dyDescent="0.25">
      <c r="A68" s="9" t="s">
        <v>44</v>
      </c>
      <c r="B68" s="9"/>
      <c r="C68" s="9"/>
      <c r="D68" s="9"/>
      <c r="E68" s="9"/>
      <c r="F68" s="9"/>
    </row>
    <row r="69" spans="1:7" x14ac:dyDescent="0.25">
      <c r="A69" s="9" t="s">
        <v>45</v>
      </c>
      <c r="B69" s="9">
        <f>(B24/B23)*100</f>
        <v>99.999999913349228</v>
      </c>
      <c r="C69" s="9"/>
      <c r="D69" s="9"/>
      <c r="E69" s="9"/>
      <c r="F69" s="9"/>
      <c r="G69" s="32"/>
    </row>
    <row r="70" spans="1:7" x14ac:dyDescent="0.25">
      <c r="A70" s="9" t="s">
        <v>46</v>
      </c>
      <c r="B70" s="9">
        <f>(B18/B24)*100</f>
        <v>47.495443858081927</v>
      </c>
      <c r="C70" s="9"/>
      <c r="D70" s="9"/>
      <c r="E70" s="9"/>
      <c r="F70" s="9"/>
      <c r="G70" s="32"/>
    </row>
    <row r="71" spans="1:7" ht="15.75" thickBot="1" x14ac:dyDescent="0.3">
      <c r="A71" s="34"/>
      <c r="B71" s="34"/>
      <c r="C71" s="34"/>
      <c r="D71" s="34"/>
      <c r="E71" s="34"/>
      <c r="F71" s="34"/>
    </row>
    <row r="72" spans="1:7" ht="15.75" thickTop="1" x14ac:dyDescent="0.25"/>
    <row r="73" spans="1:7" x14ac:dyDescent="0.25">
      <c r="A73" s="25" t="s">
        <v>59</v>
      </c>
    </row>
    <row r="74" spans="1:7" x14ac:dyDescent="0.25">
      <c r="A74" s="25" t="s">
        <v>60</v>
      </c>
    </row>
    <row r="75" spans="1:7" x14ac:dyDescent="0.25">
      <c r="A75" s="25" t="s">
        <v>61</v>
      </c>
    </row>
    <row r="76" spans="1:7" x14ac:dyDescent="0.25">
      <c r="A76" s="25" t="s">
        <v>82</v>
      </c>
    </row>
    <row r="77" spans="1:7" x14ac:dyDescent="0.25">
      <c r="A77" s="25" t="s">
        <v>83</v>
      </c>
    </row>
    <row r="79" spans="1:7" x14ac:dyDescent="0.25">
      <c r="A79" s="25" t="s">
        <v>114</v>
      </c>
    </row>
    <row r="80" spans="1:7" x14ac:dyDescent="0.25">
      <c r="A80" s="25" t="s">
        <v>115</v>
      </c>
    </row>
    <row r="81" spans="1:1" x14ac:dyDescent="0.25">
      <c r="A81" s="25" t="s">
        <v>116</v>
      </c>
    </row>
    <row r="82" spans="1:1" x14ac:dyDescent="0.25">
      <c r="A82" s="25" t="s">
        <v>117</v>
      </c>
    </row>
    <row r="83" spans="1:1" x14ac:dyDescent="0.25">
      <c r="A83" s="25" t="s">
        <v>128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C21" activePane="bottomRight" state="frozen"/>
      <selection pane="topRight" activeCell="B1" sqref="B1"/>
      <selection pane="bottomLeft" activeCell="A6" sqref="A6"/>
      <selection pane="bottomRight" activeCell="B12" sqref="B12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6.85546875" bestFit="1" customWidth="1"/>
    <col min="4" max="4" width="12.28515625" bestFit="1" customWidth="1"/>
    <col min="5" max="5" width="12.7109375" bestFit="1" customWidth="1"/>
    <col min="6" max="6" width="14.5703125" customWidth="1"/>
  </cols>
  <sheetData>
    <row r="2" spans="1:6" ht="15.75" x14ac:dyDescent="0.25">
      <c r="A2" s="43" t="s">
        <v>121</v>
      </c>
      <c r="B2" s="43"/>
      <c r="C2" s="43"/>
      <c r="D2" s="43"/>
      <c r="E2" s="43"/>
    </row>
    <row r="4" spans="1:6" x14ac:dyDescent="0.25">
      <c r="A4" s="44" t="s">
        <v>0</v>
      </c>
      <c r="B4" s="46" t="s">
        <v>47</v>
      </c>
      <c r="C4" s="48" t="s">
        <v>2</v>
      </c>
      <c r="D4" s="48"/>
      <c r="E4" s="48"/>
      <c r="F4" s="48"/>
    </row>
    <row r="5" spans="1:6" ht="15.75" thickBot="1" x14ac:dyDescent="0.3">
      <c r="A5" s="45"/>
      <c r="B5" s="47" t="s">
        <v>48</v>
      </c>
      <c r="C5" s="1" t="s">
        <v>3</v>
      </c>
      <c r="D5" s="1" t="s">
        <v>4</v>
      </c>
      <c r="E5" s="1" t="s">
        <v>5</v>
      </c>
      <c r="F5" s="1" t="s">
        <v>6</v>
      </c>
    </row>
    <row r="6" spans="1:6" ht="15.75" thickTop="1" x14ac:dyDescent="0.25"/>
    <row r="7" spans="1:6" x14ac:dyDescent="0.25">
      <c r="A7" s="2" t="s">
        <v>7</v>
      </c>
    </row>
    <row r="9" spans="1:6" x14ac:dyDescent="0.25">
      <c r="A9" t="s">
        <v>118</v>
      </c>
      <c r="C9" s="3"/>
    </row>
    <row r="10" spans="1:6" x14ac:dyDescent="0.25">
      <c r="A10" s="4" t="s">
        <v>49</v>
      </c>
      <c r="B10" s="5">
        <f>SUM(C10:E10)</f>
        <v>1692.6666666666667</v>
      </c>
      <c r="C10" s="5">
        <v>1322.6666666666667</v>
      </c>
      <c r="D10" s="5">
        <v>370</v>
      </c>
      <c r="E10" s="5">
        <v>0</v>
      </c>
      <c r="F10" s="5"/>
    </row>
    <row r="11" spans="1:6" x14ac:dyDescent="0.25">
      <c r="A11" s="6" t="s">
        <v>50</v>
      </c>
      <c r="B11" s="5">
        <f>SUM(C11:F11)</f>
        <v>2874</v>
      </c>
      <c r="C11" s="5">
        <f>(1539+66)*3/3</f>
        <v>1605</v>
      </c>
      <c r="D11" s="5">
        <f>640*3/3</f>
        <v>640</v>
      </c>
      <c r="E11" s="5">
        <f>629*3/3</f>
        <v>629</v>
      </c>
      <c r="F11" s="5"/>
    </row>
    <row r="12" spans="1:6" x14ac:dyDescent="0.25">
      <c r="A12" s="6" t="s">
        <v>51</v>
      </c>
      <c r="B12" s="5">
        <f t="shared" ref="B12" si="0">SUM(C12:E12)</f>
        <v>2899.3333333333335</v>
      </c>
      <c r="C12" s="5">
        <v>1634</v>
      </c>
      <c r="D12" s="5">
        <v>595</v>
      </c>
      <c r="E12" s="5">
        <v>670.33333333333337</v>
      </c>
      <c r="F12" s="5"/>
    </row>
    <row r="13" spans="1:6" x14ac:dyDescent="0.25">
      <c r="A13" s="6" t="s">
        <v>11</v>
      </c>
      <c r="B13" s="5">
        <f>SUM(C13:F13)</f>
        <v>2874</v>
      </c>
      <c r="C13" s="5">
        <f>1539+66</f>
        <v>1605</v>
      </c>
      <c r="D13" s="5">
        <f>640</f>
        <v>640</v>
      </c>
      <c r="E13" s="5">
        <f>629</f>
        <v>629</v>
      </c>
      <c r="F13" s="5"/>
    </row>
    <row r="14" spans="1:6" x14ac:dyDescent="0.25">
      <c r="B14" s="7"/>
      <c r="C14" s="7"/>
      <c r="D14" s="7"/>
      <c r="E14" s="7"/>
      <c r="F14" s="7"/>
    </row>
    <row r="15" spans="1:6" x14ac:dyDescent="0.25">
      <c r="A15" s="8" t="s">
        <v>12</v>
      </c>
      <c r="B15" s="7"/>
      <c r="C15" s="7"/>
      <c r="D15" s="7"/>
      <c r="E15" s="7"/>
      <c r="F15" s="7"/>
    </row>
    <row r="16" spans="1:6" x14ac:dyDescent="0.25">
      <c r="A16" s="4" t="s">
        <v>49</v>
      </c>
      <c r="B16" s="5">
        <f>SUM(C16:E16)</f>
        <v>326811121.41000003</v>
      </c>
      <c r="C16" s="5">
        <v>293798208.5</v>
      </c>
      <c r="D16" s="5">
        <v>33012912.91</v>
      </c>
      <c r="E16" s="5"/>
      <c r="F16" s="5"/>
    </row>
    <row r="17" spans="1:7" x14ac:dyDescent="0.25">
      <c r="A17" s="6" t="s">
        <v>50</v>
      </c>
      <c r="B17" s="5">
        <f>SUM(C17:E17)</f>
        <v>577028885.93519998</v>
      </c>
      <c r="C17" s="3">
        <v>312295178.63999999</v>
      </c>
      <c r="D17" s="3">
        <v>51933006.359999999</v>
      </c>
      <c r="E17" s="3">
        <v>212800700.93520001</v>
      </c>
      <c r="F17" s="5"/>
    </row>
    <row r="18" spans="1:7" x14ac:dyDescent="0.25">
      <c r="A18" s="6" t="s">
        <v>51</v>
      </c>
      <c r="B18" s="5">
        <f>SUM(C18:E18)</f>
        <v>589460494.57999992</v>
      </c>
      <c r="C18" s="5">
        <v>316754676.94</v>
      </c>
      <c r="D18" s="5">
        <v>46021394.520000003</v>
      </c>
      <c r="E18" s="5">
        <v>226684423.12</v>
      </c>
      <c r="F18" s="5"/>
    </row>
    <row r="19" spans="1:7" x14ac:dyDescent="0.25">
      <c r="A19" s="6" t="s">
        <v>11</v>
      </c>
      <c r="B19" s="5">
        <f>SUM(C19:E19)</f>
        <v>2308115550</v>
      </c>
      <c r="C19" s="9">
        <v>1250955848</v>
      </c>
      <c r="D19" s="5">
        <v>205956892</v>
      </c>
      <c r="E19" s="5">
        <v>851202810</v>
      </c>
      <c r="F19" s="5"/>
    </row>
    <row r="20" spans="1:7" x14ac:dyDescent="0.25">
      <c r="A20" s="6" t="s">
        <v>52</v>
      </c>
      <c r="B20" s="5">
        <f>SUM(C20:E20)</f>
        <v>589460494.57999992</v>
      </c>
      <c r="C20" s="5">
        <f>C18</f>
        <v>316754676.94</v>
      </c>
      <c r="D20" s="5">
        <f t="shared" ref="D20:E20" si="1">D18</f>
        <v>46021394.520000003</v>
      </c>
      <c r="E20" s="5">
        <f t="shared" si="1"/>
        <v>226684423.12</v>
      </c>
      <c r="F20" s="5"/>
    </row>
    <row r="21" spans="1:7" x14ac:dyDescent="0.25">
      <c r="B21" s="5"/>
      <c r="C21" s="9"/>
      <c r="D21" s="5"/>
      <c r="E21" s="5"/>
      <c r="F21" s="5"/>
    </row>
    <row r="22" spans="1:7" x14ac:dyDescent="0.25">
      <c r="A22" s="10" t="s">
        <v>14</v>
      </c>
      <c r="B22" s="5"/>
      <c r="C22" s="5"/>
      <c r="D22" s="5"/>
      <c r="E22" s="5"/>
      <c r="F22" s="5"/>
    </row>
    <row r="23" spans="1:7" x14ac:dyDescent="0.25">
      <c r="A23" s="4" t="s">
        <v>50</v>
      </c>
      <c r="B23" s="5">
        <f>B17</f>
        <v>577028885.93519998</v>
      </c>
      <c r="C23" s="5">
        <f>C17</f>
        <v>312295178.63999999</v>
      </c>
      <c r="D23" s="5">
        <f>D17</f>
        <v>51933006.359999999</v>
      </c>
      <c r="E23" s="5">
        <f>E17</f>
        <v>212800700.93520001</v>
      </c>
      <c r="F23" s="5"/>
      <c r="G23" s="11"/>
    </row>
    <row r="24" spans="1:7" x14ac:dyDescent="0.25">
      <c r="A24" s="4" t="s">
        <v>51</v>
      </c>
      <c r="B24" s="5">
        <f>+C24+E24</f>
        <v>330538443.81</v>
      </c>
      <c r="C24" s="5">
        <v>188671309.81</v>
      </c>
      <c r="D24" s="5"/>
      <c r="E24" s="5">
        <v>141867134</v>
      </c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15</v>
      </c>
      <c r="B26" s="7"/>
      <c r="C26" s="7"/>
      <c r="D26" s="7"/>
      <c r="E26" s="7"/>
      <c r="F26" s="7"/>
    </row>
    <row r="27" spans="1:7" x14ac:dyDescent="0.25">
      <c r="A27" s="4" t="s">
        <v>53</v>
      </c>
      <c r="B27" s="17">
        <v>1.39</v>
      </c>
      <c r="C27" s="17">
        <v>1.39</v>
      </c>
      <c r="D27" s="17">
        <v>1.39</v>
      </c>
      <c r="E27" s="17">
        <v>1.39</v>
      </c>
      <c r="F27" s="12"/>
    </row>
    <row r="28" spans="1:7" x14ac:dyDescent="0.25">
      <c r="A28" s="4" t="s">
        <v>54</v>
      </c>
      <c r="B28" s="17">
        <v>1.46</v>
      </c>
      <c r="C28" s="17">
        <v>1.46</v>
      </c>
      <c r="D28" s="17">
        <v>1.46</v>
      </c>
      <c r="E28" s="17">
        <v>1.46</v>
      </c>
      <c r="F28" s="12"/>
    </row>
    <row r="29" spans="1:7" x14ac:dyDescent="0.25">
      <c r="A29" s="4" t="s">
        <v>18</v>
      </c>
      <c r="B29" s="5">
        <v>22909</v>
      </c>
      <c r="C29" s="5">
        <v>22909</v>
      </c>
      <c r="D29" s="5">
        <v>22909</v>
      </c>
      <c r="E29" s="5">
        <v>22909</v>
      </c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19</v>
      </c>
      <c r="B31" s="7"/>
      <c r="C31" s="7"/>
      <c r="D31" s="7"/>
      <c r="E31" s="7"/>
      <c r="F31" s="7"/>
    </row>
    <row r="32" spans="1:7" x14ac:dyDescent="0.25">
      <c r="A32" s="7" t="s">
        <v>55</v>
      </c>
      <c r="B32" s="5">
        <f>B16/B27</f>
        <v>235115914.68345326</v>
      </c>
      <c r="C32" s="5">
        <f>C16/C27</f>
        <v>211365617.62589929</v>
      </c>
      <c r="D32" s="5">
        <f>D16/D27</f>
        <v>23750297.057553958</v>
      </c>
      <c r="E32" s="5">
        <f>E16/E27</f>
        <v>0</v>
      </c>
      <c r="F32" s="5"/>
    </row>
    <row r="33" spans="1:6" x14ac:dyDescent="0.25">
      <c r="A33" s="7" t="s">
        <v>56</v>
      </c>
      <c r="B33" s="5">
        <f>B18/B28</f>
        <v>403740064.78082186</v>
      </c>
      <c r="C33" s="5">
        <f>C18/C28</f>
        <v>216955258.1780822</v>
      </c>
      <c r="D33" s="5">
        <f>D18/D28</f>
        <v>31521503.095890414</v>
      </c>
      <c r="E33" s="5">
        <f>E18/E28</f>
        <v>155263303.50684932</v>
      </c>
      <c r="F33" s="5"/>
    </row>
    <row r="34" spans="1:6" x14ac:dyDescent="0.25">
      <c r="A34" s="7" t="s">
        <v>57</v>
      </c>
      <c r="B34" s="5">
        <f>B32/(B10*3)</f>
        <v>46300.889067241682</v>
      </c>
      <c r="C34" s="5">
        <f t="shared" ref="C34:E34" si="2">C32/(C10*3)</f>
        <v>53267.544764591556</v>
      </c>
      <c r="D34" s="5">
        <f t="shared" si="2"/>
        <v>21396.664015814378</v>
      </c>
      <c r="E34" s="5" t="e">
        <f t="shared" si="2"/>
        <v>#DIV/0!</v>
      </c>
      <c r="F34" s="5"/>
    </row>
    <row r="35" spans="1:6" x14ac:dyDescent="0.25">
      <c r="A35" s="7" t="s">
        <v>58</v>
      </c>
      <c r="B35" s="5">
        <f>B33/(B12*3)</f>
        <v>46417.574704624269</v>
      </c>
      <c r="C35" s="5">
        <f t="shared" ref="C35:E35" si="3">C33/(C12*3)</f>
        <v>44258.518600179967</v>
      </c>
      <c r="D35" s="5">
        <f t="shared" si="3"/>
        <v>17659.105375848972</v>
      </c>
      <c r="E35" s="5">
        <f t="shared" si="3"/>
        <v>77207.013180929542</v>
      </c>
      <c r="F35" s="5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24</v>
      </c>
      <c r="B37" s="7"/>
      <c r="C37" s="7"/>
      <c r="D37" s="7"/>
      <c r="E37" s="7"/>
      <c r="F37" s="7"/>
    </row>
    <row r="38" spans="1:6" x14ac:dyDescent="0.25">
      <c r="B38" s="7"/>
      <c r="C38" s="7"/>
      <c r="D38" s="7"/>
      <c r="E38" s="7"/>
      <c r="F38" s="7"/>
    </row>
    <row r="39" spans="1:6" x14ac:dyDescent="0.25">
      <c r="A39" t="s">
        <v>25</v>
      </c>
      <c r="B39" s="7"/>
      <c r="C39" s="7"/>
      <c r="D39" s="7"/>
      <c r="E39" s="7"/>
      <c r="F39" s="7"/>
    </row>
    <row r="40" spans="1:6" x14ac:dyDescent="0.25">
      <c r="A40" t="s">
        <v>26</v>
      </c>
      <c r="B40" s="14">
        <f>B11/B29*100</f>
        <v>12.545287878126501</v>
      </c>
      <c r="C40" s="14">
        <f>C11/C29*100</f>
        <v>7.005980182461041</v>
      </c>
      <c r="D40" s="14">
        <f>D11/D29*100</f>
        <v>2.7936618796106334</v>
      </c>
      <c r="E40" s="14">
        <f>E11/E29*100</f>
        <v>2.7456458160548256</v>
      </c>
      <c r="F40" s="14"/>
    </row>
    <row r="41" spans="1:6" x14ac:dyDescent="0.25">
      <c r="A41" t="s">
        <v>27</v>
      </c>
      <c r="B41" s="14">
        <f>B12/B29*100</f>
        <v>12.655870327527754</v>
      </c>
      <c r="C41" s="14">
        <f>C12/C29*100</f>
        <v>7.1325679863808986</v>
      </c>
      <c r="D41" s="14">
        <f>D12/D29*100</f>
        <v>2.5972325287005109</v>
      </c>
      <c r="E41" s="14">
        <f>E12/E29*100</f>
        <v>2.9260698124463458</v>
      </c>
      <c r="F41" s="14"/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28</v>
      </c>
      <c r="B43" s="7"/>
      <c r="C43" s="7"/>
      <c r="D43" s="7"/>
      <c r="E43" s="7"/>
      <c r="F43" s="7"/>
    </row>
    <row r="44" spans="1:6" x14ac:dyDescent="0.25">
      <c r="A44" t="s">
        <v>29</v>
      </c>
      <c r="B44" s="14">
        <f>B12/B11*100</f>
        <v>100.88146601716539</v>
      </c>
      <c r="C44" s="14">
        <f>C12/C11*100</f>
        <v>101.80685358255452</v>
      </c>
      <c r="D44" s="14">
        <f>D12/D11*100</f>
        <v>92.96875</v>
      </c>
      <c r="E44" s="14">
        <f>E12/E11*100</f>
        <v>106.57127715951246</v>
      </c>
      <c r="F44" s="14"/>
    </row>
    <row r="45" spans="1:6" x14ac:dyDescent="0.25">
      <c r="A45" t="s">
        <v>30</v>
      </c>
      <c r="B45" s="14">
        <f>B18/B17*100</f>
        <v>102.15441704008489</v>
      </c>
      <c r="C45" s="14">
        <f>C18/C17*100</f>
        <v>101.4279753915576</v>
      </c>
      <c r="D45" s="14">
        <f>D18/D17*100</f>
        <v>88.616850334023297</v>
      </c>
      <c r="E45" s="14">
        <f>E18/E17*100</f>
        <v>106.52428404783674</v>
      </c>
      <c r="F45" s="14"/>
    </row>
    <row r="46" spans="1:6" x14ac:dyDescent="0.25">
      <c r="A46" s="7" t="s">
        <v>31</v>
      </c>
      <c r="B46" s="14">
        <f>AVERAGE(B44:B45)</f>
        <v>101.51794152862514</v>
      </c>
      <c r="C46" s="14">
        <f>AVERAGE(C44:C45)</f>
        <v>101.61741448705607</v>
      </c>
      <c r="D46" s="14">
        <f>AVERAGE(D44:D45)</f>
        <v>90.792800167011649</v>
      </c>
      <c r="E46" s="14">
        <f>AVERAGE(E44:E45)</f>
        <v>106.5477806036746</v>
      </c>
      <c r="F46" s="14"/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32</v>
      </c>
      <c r="B48" s="7"/>
      <c r="C48" s="7"/>
      <c r="D48" s="7"/>
      <c r="E48" s="7"/>
      <c r="F48" s="7"/>
    </row>
    <row r="49" spans="1:6" x14ac:dyDescent="0.25">
      <c r="A49" s="7" t="s">
        <v>33</v>
      </c>
      <c r="B49" s="14">
        <f>(B12/(B13))*100</f>
        <v>100.88146601716539</v>
      </c>
      <c r="C49" s="14">
        <f t="shared" ref="C49:E49" si="4">(C12/(C13))*100</f>
        <v>101.80685358255452</v>
      </c>
      <c r="D49" s="14">
        <f t="shared" si="4"/>
        <v>92.96875</v>
      </c>
      <c r="E49" s="14">
        <f t="shared" si="4"/>
        <v>106.57127715951246</v>
      </c>
      <c r="F49" s="14"/>
    </row>
    <row r="50" spans="1:6" x14ac:dyDescent="0.25">
      <c r="A50" s="7" t="s">
        <v>34</v>
      </c>
      <c r="B50" s="14">
        <f>B18/B19*100</f>
        <v>25.538604190765057</v>
      </c>
      <c r="C50" s="14">
        <f>C18/C19*100</f>
        <v>25.32101172446815</v>
      </c>
      <c r="D50" s="14">
        <f>D18/D19*100</f>
        <v>22.345158772351255</v>
      </c>
      <c r="E50" s="14">
        <f>E18/E19*100</f>
        <v>26.631070816131352</v>
      </c>
      <c r="F50" s="14"/>
    </row>
    <row r="51" spans="1:6" x14ac:dyDescent="0.25">
      <c r="A51" s="7" t="s">
        <v>35</v>
      </c>
      <c r="B51" s="14">
        <f>(B49+B50)/2</f>
        <v>63.210035103965225</v>
      </c>
      <c r="C51" s="14">
        <f>(C49+C50)/2</f>
        <v>63.563932653511337</v>
      </c>
      <c r="D51" s="14">
        <f>(D49+D50)/2</f>
        <v>57.656954386175627</v>
      </c>
      <c r="E51" s="14">
        <f>(E49+E50)/2</f>
        <v>66.601173987821909</v>
      </c>
      <c r="F51" s="14"/>
    </row>
    <row r="52" spans="1:6" x14ac:dyDescent="0.25">
      <c r="A52" s="7"/>
      <c r="B52" s="7"/>
      <c r="C52" s="7"/>
      <c r="D52" s="7"/>
      <c r="E52" s="7"/>
      <c r="F52" s="7"/>
    </row>
    <row r="53" spans="1:6" x14ac:dyDescent="0.25">
      <c r="A53" s="7" t="s">
        <v>36</v>
      </c>
      <c r="B53" s="7"/>
      <c r="C53" s="7"/>
      <c r="D53" s="7"/>
      <c r="E53" s="7"/>
      <c r="F53" s="7"/>
    </row>
    <row r="54" spans="1:6" x14ac:dyDescent="0.25">
      <c r="A54" s="7" t="s">
        <v>37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/>
    </row>
    <row r="55" spans="1:6" x14ac:dyDescent="0.25">
      <c r="A55" s="7"/>
      <c r="B55" s="7"/>
      <c r="C55" s="7"/>
      <c r="D55" s="7"/>
      <c r="E55" s="7"/>
      <c r="F55" s="7"/>
    </row>
    <row r="56" spans="1:6" x14ac:dyDescent="0.25">
      <c r="A56" s="7" t="s">
        <v>38</v>
      </c>
      <c r="B56" s="7"/>
      <c r="C56" s="7"/>
      <c r="D56" s="7"/>
      <c r="E56" s="7"/>
      <c r="F56" s="7"/>
    </row>
    <row r="57" spans="1:6" x14ac:dyDescent="0.25">
      <c r="A57" s="7" t="s">
        <v>39</v>
      </c>
      <c r="B57" s="14">
        <f>((B12/B10)-1)*100</f>
        <v>71.287908625443094</v>
      </c>
      <c r="C57" s="14">
        <f>((C12/C10)-1)*100</f>
        <v>23.5383064516129</v>
      </c>
      <c r="D57" s="14">
        <f>((D12/D10)-1)*100</f>
        <v>60.810810810810814</v>
      </c>
      <c r="E57" s="14" t="e">
        <f>((E12/E10)-1)*100</f>
        <v>#DIV/0!</v>
      </c>
      <c r="F57" s="14"/>
    </row>
    <row r="58" spans="1:6" x14ac:dyDescent="0.25">
      <c r="A58" s="7" t="s">
        <v>40</v>
      </c>
      <c r="B58" s="14">
        <f>((B33/B32)-1)*100</f>
        <v>71.719581519776995</v>
      </c>
      <c r="C58" s="14">
        <f>((C33/C32)-1)*100</f>
        <v>2.6445363323358118</v>
      </c>
      <c r="D58" s="14">
        <f>((D33/D32)-1)*100</f>
        <v>32.720458272604077</v>
      </c>
      <c r="E58" s="14" t="e">
        <f>((E33/E32)-1)*100</f>
        <v>#DIV/0!</v>
      </c>
      <c r="F58" s="14"/>
    </row>
    <row r="59" spans="1:6" x14ac:dyDescent="0.25">
      <c r="A59" s="7" t="s">
        <v>41</v>
      </c>
      <c r="B59" s="14">
        <f>((B35/B34)-1)*100</f>
        <v>0.25201597579072033</v>
      </c>
      <c r="C59" s="14">
        <f>((C35/C34)-1)*100</f>
        <v>-16.912786583698789</v>
      </c>
      <c r="D59" s="14">
        <f>((D35/D34)-1)*100</f>
        <v>-17.467950317876458</v>
      </c>
      <c r="E59" s="14" t="e">
        <f>((E35/E34)-1)*100</f>
        <v>#DIV/0!</v>
      </c>
      <c r="F59" s="14"/>
    </row>
    <row r="60" spans="1:6" x14ac:dyDescent="0.25">
      <c r="A60" s="7"/>
      <c r="B60" s="14"/>
      <c r="C60" s="14"/>
      <c r="D60" s="14"/>
      <c r="E60" s="14"/>
      <c r="F60" s="14"/>
    </row>
    <row r="61" spans="1:6" x14ac:dyDescent="0.25">
      <c r="A61" s="7" t="s">
        <v>42</v>
      </c>
      <c r="B61" s="7"/>
      <c r="C61" s="7"/>
      <c r="D61" s="7"/>
      <c r="E61" s="7"/>
      <c r="F61" s="7"/>
    </row>
    <row r="62" spans="1:6" x14ac:dyDescent="0.25">
      <c r="A62" s="7" t="s">
        <v>129</v>
      </c>
      <c r="B62" s="5">
        <f>B17/(B11*3)</f>
        <v>66925.178141405704</v>
      </c>
      <c r="C62" s="5">
        <f t="shared" ref="C62:E63" si="5">C17/(C11*3)</f>
        <v>64858.811763239872</v>
      </c>
      <c r="D62" s="5">
        <f t="shared" si="5"/>
        <v>27048.440812500001</v>
      </c>
      <c r="E62" s="5">
        <f t="shared" si="5"/>
        <v>112771.96657933228</v>
      </c>
      <c r="F62" s="5"/>
    </row>
    <row r="63" spans="1:6" x14ac:dyDescent="0.25">
      <c r="A63" s="7" t="s">
        <v>130</v>
      </c>
      <c r="B63" s="5">
        <f>$B$18/(B12*3)</f>
        <v>67769.659068751425</v>
      </c>
      <c r="C63" s="5">
        <f>C18/(C12*3)</f>
        <v>64617.437156262749</v>
      </c>
      <c r="D63" s="5">
        <f t="shared" si="5"/>
        <v>25782.293848739497</v>
      </c>
      <c r="E63" s="5">
        <f t="shared" si="5"/>
        <v>112722.23924415714</v>
      </c>
      <c r="F63" s="5"/>
    </row>
    <row r="64" spans="1:6" x14ac:dyDescent="0.25">
      <c r="A64" s="7" t="s">
        <v>43</v>
      </c>
      <c r="B64" s="14">
        <f>(B62/B63)*B46</f>
        <v>100.25292165716098</v>
      </c>
      <c r="C64" s="14">
        <f>(C62/C63)*C46</f>
        <v>101.99700031656722</v>
      </c>
      <c r="D64" s="14">
        <f>(D62/D63)*D46</f>
        <v>95.251558915833996</v>
      </c>
      <c r="E64" s="14">
        <f>E62/E63*E46</f>
        <v>106.5947840808391</v>
      </c>
      <c r="F64" s="14"/>
    </row>
    <row r="65" spans="1:7" x14ac:dyDescent="0.25">
      <c r="A65" s="7" t="s">
        <v>131</v>
      </c>
      <c r="B65" s="5">
        <f>B17/B11</f>
        <v>200775.5344242171</v>
      </c>
      <c r="C65" s="5">
        <f t="shared" ref="C65:E65" si="6">C17/C11</f>
        <v>194576.43528971961</v>
      </c>
      <c r="D65" s="5">
        <f t="shared" si="6"/>
        <v>81145.322437499999</v>
      </c>
      <c r="E65" s="5">
        <f t="shared" si="6"/>
        <v>338315.89973799681</v>
      </c>
      <c r="F65" s="14"/>
    </row>
    <row r="66" spans="1:7" x14ac:dyDescent="0.25">
      <c r="A66" s="7" t="s">
        <v>132</v>
      </c>
      <c r="B66" s="5">
        <f>B18/B12</f>
        <v>203308.97720625426</v>
      </c>
      <c r="C66" s="5">
        <f t="shared" ref="C66:E66" si="7">C18/C12</f>
        <v>193852.31146878825</v>
      </c>
      <c r="D66" s="5">
        <f t="shared" si="7"/>
        <v>77346.881546218487</v>
      </c>
      <c r="E66" s="5">
        <f t="shared" si="7"/>
        <v>338166.71773247141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44</v>
      </c>
      <c r="B68" s="14"/>
      <c r="C68" s="14"/>
      <c r="D68" s="14"/>
      <c r="E68" s="14"/>
      <c r="F68" s="14"/>
    </row>
    <row r="69" spans="1:7" x14ac:dyDescent="0.25">
      <c r="A69" s="7" t="s">
        <v>45</v>
      </c>
      <c r="B69" s="14">
        <f>(B24/B23)*100</f>
        <v>57.282824459349392</v>
      </c>
      <c r="C69" s="14"/>
      <c r="D69" s="14"/>
      <c r="E69" s="14"/>
      <c r="F69" s="14"/>
      <c r="G69" s="11"/>
    </row>
    <row r="70" spans="1:7" x14ac:dyDescent="0.25">
      <c r="A70" s="7" t="s">
        <v>46</v>
      </c>
      <c r="B70" s="14">
        <f>(B18/B24)*100</f>
        <v>178.33341495334</v>
      </c>
      <c r="C70" s="14"/>
      <c r="D70" s="14"/>
      <c r="E70" s="14"/>
      <c r="F70" s="14"/>
      <c r="G70" s="11"/>
    </row>
    <row r="71" spans="1:7" ht="15.75" thickBot="1" x14ac:dyDescent="0.3">
      <c r="A71" s="15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59</v>
      </c>
    </row>
    <row r="74" spans="1:7" x14ac:dyDescent="0.25">
      <c r="A74" t="s">
        <v>60</v>
      </c>
    </row>
    <row r="75" spans="1:7" x14ac:dyDescent="0.25">
      <c r="A75" t="s">
        <v>61</v>
      </c>
      <c r="B75" s="16"/>
      <c r="C75" s="16"/>
      <c r="D75" s="16"/>
    </row>
    <row r="76" spans="1:7" x14ac:dyDescent="0.25">
      <c r="A76" t="s">
        <v>82</v>
      </c>
    </row>
    <row r="77" spans="1:7" x14ac:dyDescent="0.25">
      <c r="A77" t="s">
        <v>83</v>
      </c>
    </row>
    <row r="79" spans="1:7" x14ac:dyDescent="0.25">
      <c r="A79" t="s">
        <v>114</v>
      </c>
    </row>
    <row r="80" spans="1:7" x14ac:dyDescent="0.25">
      <c r="A80" t="s">
        <v>115</v>
      </c>
    </row>
    <row r="81" spans="1:1" x14ac:dyDescent="0.25">
      <c r="A81" t="s">
        <v>116</v>
      </c>
    </row>
    <row r="82" spans="1:1" x14ac:dyDescent="0.25">
      <c r="A82" t="s">
        <v>117</v>
      </c>
    </row>
    <row r="83" spans="1:1" x14ac:dyDescent="0.25">
      <c r="A83" t="s">
        <v>128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H137" sqref="H137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43" t="s">
        <v>123</v>
      </c>
      <c r="B2" s="43"/>
      <c r="C2" s="43"/>
      <c r="D2" s="43"/>
      <c r="E2" s="43"/>
    </row>
    <row r="4" spans="1:7" ht="15" customHeight="1" x14ac:dyDescent="0.25">
      <c r="A4" s="44" t="s">
        <v>0</v>
      </c>
      <c r="B4" s="18" t="s">
        <v>47</v>
      </c>
      <c r="C4" s="48" t="s">
        <v>2</v>
      </c>
      <c r="D4" s="48"/>
      <c r="E4" s="48"/>
      <c r="F4" s="48"/>
    </row>
    <row r="5" spans="1:7" ht="15.75" thickBot="1" x14ac:dyDescent="0.3">
      <c r="A5" s="45"/>
      <c r="B5" s="1" t="s">
        <v>48</v>
      </c>
      <c r="C5" s="1" t="s">
        <v>3</v>
      </c>
      <c r="D5" s="1" t="s">
        <v>4</v>
      </c>
      <c r="E5" s="1" t="s">
        <v>5</v>
      </c>
      <c r="F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118</v>
      </c>
    </row>
    <row r="10" spans="1:7" x14ac:dyDescent="0.25">
      <c r="A10" s="4" t="s">
        <v>62</v>
      </c>
      <c r="B10" s="5">
        <f>SUM(C10:F10)</f>
        <v>1676</v>
      </c>
      <c r="C10" s="5">
        <v>1314.6666666666667</v>
      </c>
      <c r="D10" s="5">
        <v>361.33333333333331</v>
      </c>
      <c r="E10" s="5">
        <v>0</v>
      </c>
      <c r="F10" s="5">
        <v>0</v>
      </c>
      <c r="G10" s="3"/>
    </row>
    <row r="11" spans="1:7" x14ac:dyDescent="0.25">
      <c r="A11" s="6" t="s">
        <v>63</v>
      </c>
      <c r="B11" s="5">
        <f>SUM(C11:F11)</f>
        <v>3264.3333333333335</v>
      </c>
      <c r="C11" s="5">
        <f>(1539+66)*3/3</f>
        <v>1605</v>
      </c>
      <c r="D11" s="5">
        <f>640*3/3</f>
        <v>640</v>
      </c>
      <c r="E11" s="5">
        <f>(629+629+1800)/3</f>
        <v>1019.3333333333334</v>
      </c>
      <c r="F11" s="5">
        <v>0</v>
      </c>
      <c r="G11" s="23"/>
    </row>
    <row r="12" spans="1:7" x14ac:dyDescent="0.25">
      <c r="A12" s="6" t="s">
        <v>64</v>
      </c>
      <c r="B12" s="3">
        <f>SUM(C12:F12)</f>
        <v>2695.6666666666665</v>
      </c>
      <c r="C12" s="3">
        <v>1519</v>
      </c>
      <c r="D12" s="3">
        <v>556</v>
      </c>
      <c r="E12" s="3">
        <v>620.66666666666663</v>
      </c>
      <c r="F12" s="5">
        <v>0</v>
      </c>
    </row>
    <row r="13" spans="1:7" x14ac:dyDescent="0.25">
      <c r="A13" s="6" t="s">
        <v>11</v>
      </c>
      <c r="B13" s="5">
        <f>SUM(C13:E13)</f>
        <v>4045</v>
      </c>
      <c r="C13" s="5">
        <f>1539+66</f>
        <v>1605</v>
      </c>
      <c r="D13" s="5">
        <f>640</f>
        <v>640</v>
      </c>
      <c r="E13" s="5">
        <v>1800</v>
      </c>
      <c r="F13" s="5">
        <v>4</v>
      </c>
      <c r="G13" s="23"/>
    </row>
    <row r="14" spans="1:7" x14ac:dyDescent="0.25">
      <c r="F14" s="7"/>
      <c r="G14" s="19"/>
    </row>
    <row r="15" spans="1:7" x14ac:dyDescent="0.25">
      <c r="A15" s="8" t="s">
        <v>12</v>
      </c>
      <c r="F15" s="7"/>
      <c r="G15" s="20"/>
    </row>
    <row r="16" spans="1:7" x14ac:dyDescent="0.25">
      <c r="A16" s="4" t="s">
        <v>62</v>
      </c>
      <c r="B16" s="5">
        <f>SUM(C16:F16)</f>
        <v>323795067.02999997</v>
      </c>
      <c r="C16" s="5">
        <v>292159842.19</v>
      </c>
      <c r="D16" s="5">
        <v>31635224.84</v>
      </c>
      <c r="E16" s="5">
        <v>0</v>
      </c>
      <c r="F16" s="5">
        <v>0</v>
      </c>
    </row>
    <row r="17" spans="1:7" x14ac:dyDescent="0.25">
      <c r="A17" s="6" t="s">
        <v>63</v>
      </c>
      <c r="B17" s="5">
        <f>SUM(C17:F17)</f>
        <v>1387095320</v>
      </c>
      <c r="C17" s="9">
        <v>314125785</v>
      </c>
      <c r="D17" s="5">
        <v>50102400</v>
      </c>
      <c r="E17" s="5">
        <f>73933567.5*2+375000000</f>
        <v>522867135</v>
      </c>
      <c r="F17" s="5">
        <v>500000000</v>
      </c>
      <c r="G17" s="19"/>
    </row>
    <row r="18" spans="1:7" x14ac:dyDescent="0.25">
      <c r="A18" s="6" t="s">
        <v>64</v>
      </c>
      <c r="B18" s="3">
        <f>SUM(C18:F18)</f>
        <v>547959114.33000004</v>
      </c>
      <c r="C18" s="3">
        <v>295300826</v>
      </c>
      <c r="D18" s="3">
        <v>42676885.340000004</v>
      </c>
      <c r="E18" s="3">
        <v>209981402.99000001</v>
      </c>
      <c r="F18" s="5">
        <v>0</v>
      </c>
    </row>
    <row r="19" spans="1:7" x14ac:dyDescent="0.25">
      <c r="A19" s="6" t="s">
        <v>11</v>
      </c>
      <c r="B19" s="3">
        <f>SUM(C19:F19)</f>
        <v>4524381280</v>
      </c>
      <c r="C19" s="3">
        <v>1248998723</v>
      </c>
      <c r="D19" s="3">
        <v>207914017</v>
      </c>
      <c r="E19" s="3">
        <f>70933567.5*8+375000000*4</f>
        <v>2067468540</v>
      </c>
      <c r="F19" s="5">
        <v>1000000000</v>
      </c>
    </row>
    <row r="20" spans="1:7" x14ac:dyDescent="0.25">
      <c r="A20" s="6" t="s">
        <v>65</v>
      </c>
      <c r="B20" s="5">
        <f>SUM(C20:E20)</f>
        <v>547959114.33000004</v>
      </c>
      <c r="C20" s="5">
        <f>C18</f>
        <v>295300826</v>
      </c>
      <c r="D20" s="5">
        <f t="shared" ref="D20:E20" si="0">D18</f>
        <v>42676885.340000004</v>
      </c>
      <c r="E20" s="5">
        <f t="shared" si="0"/>
        <v>209981402.99000001</v>
      </c>
      <c r="F20" s="5">
        <v>0</v>
      </c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14</v>
      </c>
      <c r="B22" s="5"/>
      <c r="C22" s="5"/>
      <c r="D22" s="5"/>
      <c r="E22" s="5"/>
      <c r="F22" s="5"/>
    </row>
    <row r="23" spans="1:7" x14ac:dyDescent="0.25">
      <c r="A23" s="4" t="s">
        <v>63</v>
      </c>
      <c r="B23" s="5">
        <f>B17</f>
        <v>1387095320</v>
      </c>
      <c r="C23" s="5">
        <f>C17</f>
        <v>314125785</v>
      </c>
      <c r="D23" s="5">
        <f>D17</f>
        <v>50102400</v>
      </c>
      <c r="E23" s="5">
        <f>E17</f>
        <v>522867135</v>
      </c>
      <c r="F23" s="5">
        <f>F17</f>
        <v>500000000</v>
      </c>
      <c r="G23" s="11"/>
    </row>
    <row r="24" spans="1:7" x14ac:dyDescent="0.25">
      <c r="A24" s="4" t="s">
        <v>64</v>
      </c>
      <c r="B24" s="5">
        <f>+C24+E24</f>
        <v>728367551.61000001</v>
      </c>
      <c r="C24" s="24">
        <v>444633284.09000003</v>
      </c>
      <c r="D24" s="24"/>
      <c r="E24" s="5">
        <v>283734267.51999998</v>
      </c>
      <c r="F24" s="5">
        <v>0</v>
      </c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15</v>
      </c>
      <c r="B26" s="7"/>
      <c r="C26" s="7"/>
      <c r="D26" s="7"/>
      <c r="E26" s="7"/>
      <c r="F26" s="7"/>
    </row>
    <row r="27" spans="1:7" x14ac:dyDescent="0.25">
      <c r="A27" s="4" t="s">
        <v>66</v>
      </c>
      <c r="B27" s="17">
        <f>140.42/100</f>
        <v>1.4041999999999999</v>
      </c>
      <c r="C27" s="17">
        <f t="shared" ref="C27:F27" si="1">140.42/100</f>
        <v>1.4041999999999999</v>
      </c>
      <c r="D27" s="17">
        <f t="shared" si="1"/>
        <v>1.4041999999999999</v>
      </c>
      <c r="E27" s="17">
        <f t="shared" si="1"/>
        <v>1.4041999999999999</v>
      </c>
      <c r="F27" s="17">
        <f t="shared" si="1"/>
        <v>1.4041999999999999</v>
      </c>
    </row>
    <row r="28" spans="1:7" x14ac:dyDescent="0.25">
      <c r="A28" s="4" t="s">
        <v>67</v>
      </c>
      <c r="B28" s="17">
        <f>147.74/100</f>
        <v>1.4774</v>
      </c>
      <c r="C28" s="17">
        <f t="shared" ref="C28:F28" si="2">147.74/100</f>
        <v>1.4774</v>
      </c>
      <c r="D28" s="17">
        <f t="shared" si="2"/>
        <v>1.4774</v>
      </c>
      <c r="E28" s="17">
        <f t="shared" si="2"/>
        <v>1.4774</v>
      </c>
      <c r="F28" s="17">
        <f t="shared" si="2"/>
        <v>1.4774</v>
      </c>
    </row>
    <row r="29" spans="1:7" x14ac:dyDescent="0.25">
      <c r="A29" s="4" t="s">
        <v>18</v>
      </c>
      <c r="B29" s="5">
        <v>22909</v>
      </c>
      <c r="C29" s="5">
        <v>22909</v>
      </c>
      <c r="D29" s="5">
        <v>22909</v>
      </c>
      <c r="E29" s="5">
        <v>22909</v>
      </c>
      <c r="F29" s="5">
        <v>22909</v>
      </c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19</v>
      </c>
      <c r="B31" s="7"/>
      <c r="C31" s="7"/>
      <c r="D31" s="7"/>
      <c r="E31" s="7"/>
      <c r="F31" s="7"/>
    </row>
    <row r="32" spans="1:7" x14ac:dyDescent="0.25">
      <c r="A32" s="7" t="s">
        <v>68</v>
      </c>
      <c r="B32" s="5">
        <f>B16/B27</f>
        <v>230590419.47728243</v>
      </c>
      <c r="C32" s="5">
        <f>C16/C27</f>
        <v>208061417.31234869</v>
      </c>
      <c r="D32" s="5">
        <f>D16/D27</f>
        <v>22529002.164933771</v>
      </c>
      <c r="E32" s="5">
        <f>E16/E27</f>
        <v>0</v>
      </c>
      <c r="F32" s="5">
        <f>F16/F27</f>
        <v>0</v>
      </c>
    </row>
    <row r="33" spans="1:6" x14ac:dyDescent="0.25">
      <c r="A33" s="7" t="s">
        <v>69</v>
      </c>
      <c r="B33" s="5">
        <f>B18/B28</f>
        <v>370894215.73710573</v>
      </c>
      <c r="C33" s="5">
        <f>C18/C28</f>
        <v>199878723.43305808</v>
      </c>
      <c r="D33" s="5">
        <f>D18/D28</f>
        <v>28886479.856504671</v>
      </c>
      <c r="E33" s="5">
        <f>E18/E28</f>
        <v>142129012.447543</v>
      </c>
      <c r="F33" s="5">
        <f>F18/F28</f>
        <v>0</v>
      </c>
    </row>
    <row r="34" spans="1:6" x14ac:dyDescent="0.25">
      <c r="A34" s="7" t="s">
        <v>70</v>
      </c>
      <c r="B34" s="5">
        <f>B32/(B10*3)</f>
        <v>45861.260834781708</v>
      </c>
      <c r="C34" s="5">
        <f t="shared" ref="C34:F34" si="3">C32/(C10*3)</f>
        <v>52753.909054855147</v>
      </c>
      <c r="D34" s="5">
        <f t="shared" si="3"/>
        <v>20783.212329274695</v>
      </c>
      <c r="E34" s="5" t="e">
        <f t="shared" si="3"/>
        <v>#DIV/0!</v>
      </c>
      <c r="F34" s="5" t="e">
        <f t="shared" si="3"/>
        <v>#DIV/0!</v>
      </c>
    </row>
    <row r="35" spans="1:6" x14ac:dyDescent="0.25">
      <c r="A35" s="7" t="s">
        <v>71</v>
      </c>
      <c r="B35" s="5">
        <f>B33/(B12*3)</f>
        <v>45863.016660950379</v>
      </c>
      <c r="C35" s="5">
        <f t="shared" ref="C35:F35" si="4">C33/(C12*3)</f>
        <v>43861.909904116321</v>
      </c>
      <c r="D35" s="5">
        <f t="shared" si="4"/>
        <v>17318.033487113113</v>
      </c>
      <c r="E35" s="5">
        <f t="shared" si="4"/>
        <v>76331.370809636413</v>
      </c>
      <c r="F35" s="5" t="e">
        <f t="shared" si="4"/>
        <v>#DIV/0!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24</v>
      </c>
    </row>
    <row r="39" spans="1:6" x14ac:dyDescent="0.25">
      <c r="A39" t="s">
        <v>25</v>
      </c>
    </row>
    <row r="40" spans="1:6" x14ac:dyDescent="0.25">
      <c r="A40" t="s">
        <v>26</v>
      </c>
      <c r="B40" s="14">
        <f>B11/B29*100</f>
        <v>14.249130618243194</v>
      </c>
      <c r="C40" s="14">
        <f>C11/C29*100</f>
        <v>7.005980182461041</v>
      </c>
      <c r="D40" s="14">
        <f>D11/D29*100</f>
        <v>2.7936618796106334</v>
      </c>
      <c r="E40" s="14">
        <f>E11/E29*100</f>
        <v>4.4494885561715192</v>
      </c>
      <c r="F40" s="14">
        <f>F11/F29*100</f>
        <v>0</v>
      </c>
    </row>
    <row r="41" spans="1:6" x14ac:dyDescent="0.25">
      <c r="A41" t="s">
        <v>27</v>
      </c>
      <c r="B41" s="14">
        <f>B12/B29*100</f>
        <v>11.766845635630828</v>
      </c>
      <c r="C41" s="14">
        <f>C12/C29*100</f>
        <v>6.6305818673883632</v>
      </c>
      <c r="D41" s="14">
        <f>D12/D29*100</f>
        <v>2.4269937579117378</v>
      </c>
      <c r="E41" s="14">
        <f>E12/E29*100</f>
        <v>2.7092700103307288</v>
      </c>
      <c r="F41" s="14">
        <f>F12/F29*100</f>
        <v>0</v>
      </c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28</v>
      </c>
      <c r="B43" s="7"/>
      <c r="C43" s="7"/>
      <c r="D43" s="7"/>
      <c r="E43" s="7"/>
      <c r="F43" s="7"/>
    </row>
    <row r="44" spans="1:6" x14ac:dyDescent="0.25">
      <c r="A44" t="s">
        <v>29</v>
      </c>
      <c r="B44" s="14">
        <f>B12/B11*100</f>
        <v>82.57939344429694</v>
      </c>
      <c r="C44" s="14">
        <f>C12/C11*100</f>
        <v>94.641744548286596</v>
      </c>
      <c r="D44" s="14">
        <f>D12/D11*100</f>
        <v>86.875</v>
      </c>
      <c r="E44" s="14">
        <f>E12/E11*100</f>
        <v>60.889470241988221</v>
      </c>
      <c r="F44" s="14" t="e">
        <f>F12/F11*100</f>
        <v>#DIV/0!</v>
      </c>
    </row>
    <row r="45" spans="1:6" x14ac:dyDescent="0.25">
      <c r="A45" t="s">
        <v>30</v>
      </c>
      <c r="B45" s="14">
        <f>B18/B17*100</f>
        <v>39.504070587593077</v>
      </c>
      <c r="C45" s="14">
        <f>C18/C17*100</f>
        <v>94.007190781871032</v>
      </c>
      <c r="D45" s="14">
        <f>D18/D17*100</f>
        <v>85.179323425624332</v>
      </c>
      <c r="E45" s="14">
        <f>E18/E17*100</f>
        <v>40.159610144554222</v>
      </c>
      <c r="F45" s="14">
        <f>F18/F17*100</f>
        <v>0</v>
      </c>
    </row>
    <row r="46" spans="1:6" x14ac:dyDescent="0.25">
      <c r="A46" s="7" t="s">
        <v>31</v>
      </c>
      <c r="B46" s="14">
        <f>AVERAGE(B44:B45)</f>
        <v>61.041732015945009</v>
      </c>
      <c r="C46" s="14">
        <f>AVERAGE(C44:C45)</f>
        <v>94.324467665078814</v>
      </c>
      <c r="D46" s="14">
        <f>AVERAGE(D44:D45)</f>
        <v>86.027161712812159</v>
      </c>
      <c r="E46" s="14">
        <f>AVERAGE(E44:E45)</f>
        <v>50.524540193271221</v>
      </c>
      <c r="F46" s="14" t="e">
        <f>AVERAGE(F44:F45)</f>
        <v>#DIV/0!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32</v>
      </c>
      <c r="B48" s="7"/>
      <c r="C48" s="7"/>
      <c r="D48" s="7"/>
      <c r="E48" s="7"/>
      <c r="F48" s="7"/>
    </row>
    <row r="49" spans="1:7" x14ac:dyDescent="0.25">
      <c r="A49" s="7" t="s">
        <v>33</v>
      </c>
      <c r="B49" s="14">
        <f>(B12/(B13))*100</f>
        <v>66.641944787803865</v>
      </c>
      <c r="C49" s="14">
        <f t="shared" ref="C49:E49" si="5">(C12/(C13))*100</f>
        <v>94.641744548286596</v>
      </c>
      <c r="D49" s="14">
        <f t="shared" si="5"/>
        <v>86.875</v>
      </c>
      <c r="E49" s="14">
        <f t="shared" si="5"/>
        <v>34.481481481481481</v>
      </c>
      <c r="F49" s="14">
        <f>(F12*3)/F13*100</f>
        <v>0</v>
      </c>
    </row>
    <row r="50" spans="1:7" x14ac:dyDescent="0.25">
      <c r="A50" s="7" t="s">
        <v>34</v>
      </c>
      <c r="B50" s="14">
        <f>B18/B19*100</f>
        <v>12.111249702854398</v>
      </c>
      <c r="C50" s="14">
        <f>C18/C19*100</f>
        <v>23.643004637403461</v>
      </c>
      <c r="D50" s="14">
        <f>D18/D19*100</f>
        <v>20.526218460778431</v>
      </c>
      <c r="E50" s="14">
        <f>E18/E19*100</f>
        <v>10.156449731999308</v>
      </c>
      <c r="F50" s="14">
        <f>F18/F19*100</f>
        <v>0</v>
      </c>
    </row>
    <row r="51" spans="1:7" x14ac:dyDescent="0.25">
      <c r="A51" s="7" t="s">
        <v>35</v>
      </c>
      <c r="B51" s="14">
        <f>(B49+B50)/2</f>
        <v>39.37659724532913</v>
      </c>
      <c r="C51" s="14">
        <f>(C49+C50)/2</f>
        <v>59.14237459284503</v>
      </c>
      <c r="D51" s="14">
        <f>(D49+D50)/2</f>
        <v>53.700609230389219</v>
      </c>
      <c r="E51" s="14">
        <f>(E49+E50)/2</f>
        <v>22.318965606740395</v>
      </c>
      <c r="F51" s="14">
        <f>(F49+F50)/2</f>
        <v>0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36</v>
      </c>
      <c r="B53" s="7"/>
      <c r="C53" s="7"/>
      <c r="D53" s="7"/>
      <c r="E53" s="7"/>
      <c r="F53" s="7"/>
    </row>
    <row r="54" spans="1:7" x14ac:dyDescent="0.25">
      <c r="A54" s="7" t="s">
        <v>37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 t="e">
        <f>F20/F18*100</f>
        <v>#DIV/0!</v>
      </c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38</v>
      </c>
      <c r="B56" s="7"/>
      <c r="C56" s="7"/>
      <c r="D56" s="7"/>
      <c r="E56" s="7"/>
      <c r="F56" s="7"/>
    </row>
    <row r="57" spans="1:7" x14ac:dyDescent="0.25">
      <c r="A57" s="7" t="s">
        <v>39</v>
      </c>
      <c r="B57" s="14">
        <f>((B12/B10)-1)*100</f>
        <v>60.839299920445498</v>
      </c>
      <c r="C57" s="14">
        <f>((C12/C10)-1)*100</f>
        <v>15.542596348884373</v>
      </c>
      <c r="D57" s="14">
        <f>((D12/D10)-1)*100</f>
        <v>53.874538745387454</v>
      </c>
      <c r="E57" s="14" t="e">
        <f>((E12/E10)-1)*100</f>
        <v>#DIV/0!</v>
      </c>
      <c r="F57" s="14" t="e">
        <f>((F12/F10)-1)*100</f>
        <v>#DIV/0!</v>
      </c>
    </row>
    <row r="58" spans="1:7" x14ac:dyDescent="0.25">
      <c r="A58" s="7" t="s">
        <v>40</v>
      </c>
      <c r="B58" s="14">
        <f>((B33/B32)-1)*100</f>
        <v>60.845457750531516</v>
      </c>
      <c r="C58" s="14">
        <f>((C33/C32)-1)*100</f>
        <v>-3.9328261745936732</v>
      </c>
      <c r="D58" s="14">
        <f>((D33/D32)-1)*100</f>
        <v>28.219082429963404</v>
      </c>
      <c r="E58" s="14" t="e">
        <f>((E33/E32)-1)*100</f>
        <v>#DIV/0!</v>
      </c>
      <c r="F58" s="14" t="e">
        <f>((F33/F32)-1)*100</f>
        <v>#DIV/0!</v>
      </c>
      <c r="G58" s="14"/>
    </row>
    <row r="59" spans="1:7" x14ac:dyDescent="0.25">
      <c r="A59" s="7" t="s">
        <v>41</v>
      </c>
      <c r="B59" s="14">
        <f>((B35/B34)-1)*100</f>
        <v>3.8285606124066618E-3</v>
      </c>
      <c r="C59" s="14">
        <f>((C35/C34)-1)*100</f>
        <v>-16.855621336975524</v>
      </c>
      <c r="D59" s="14">
        <f>((D35/D34)-1)*100</f>
        <v>-16.672970411222821</v>
      </c>
      <c r="E59" s="14" t="e">
        <f>((E35/E34)-1)*100</f>
        <v>#DIV/0!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42</v>
      </c>
      <c r="B61" s="7"/>
      <c r="C61" s="7"/>
      <c r="D61" s="7"/>
      <c r="E61" s="7"/>
      <c r="F61" s="7"/>
    </row>
    <row r="62" spans="1:7" x14ac:dyDescent="0.25">
      <c r="A62" s="7" t="s">
        <v>129</v>
      </c>
      <c r="B62" s="5">
        <f>B17/(B11*3)</f>
        <v>141641.51128356991</v>
      </c>
      <c r="C62" s="5">
        <f t="shared" ref="C62:E63" si="6">C17/(C11*3)</f>
        <v>65239</v>
      </c>
      <c r="D62" s="5">
        <f t="shared" si="6"/>
        <v>26095</v>
      </c>
      <c r="E62" s="5">
        <f>E17/(E11*3)</f>
        <v>170983.36657946371</v>
      </c>
      <c r="F62" s="5" t="e">
        <f>F17/(F11*3)</f>
        <v>#DIV/0!</v>
      </c>
    </row>
    <row r="63" spans="1:7" x14ac:dyDescent="0.25">
      <c r="A63" s="7" t="s">
        <v>130</v>
      </c>
      <c r="B63" s="5">
        <f>$B$18/(B12*3)</f>
        <v>67758.020814888092</v>
      </c>
      <c r="C63" s="5">
        <f>C18/(C12*3)</f>
        <v>64801.585692341454</v>
      </c>
      <c r="D63" s="5">
        <f t="shared" si="6"/>
        <v>25585.662673860912</v>
      </c>
      <c r="E63" s="5">
        <f t="shared" si="6"/>
        <v>112771.96723415682</v>
      </c>
      <c r="F63" s="5" t="e">
        <f>$B$18/(F12*3)</f>
        <v>#DIV/0!</v>
      </c>
    </row>
    <row r="64" spans="1:7" x14ac:dyDescent="0.25">
      <c r="A64" s="7" t="s">
        <v>43</v>
      </c>
      <c r="B64" s="14">
        <f>(B62/B63)*B46</f>
        <v>127.60176684802722</v>
      </c>
      <c r="C64" s="14">
        <f>(C62/C63)*C46</f>
        <v>94.961163068102849</v>
      </c>
      <c r="D64" s="14">
        <f>(D62/D63)*D46</f>
        <v>87.739716321253212</v>
      </c>
      <c r="E64" s="14">
        <f>E62/E63*E46</f>
        <v>76.604640222223324</v>
      </c>
      <c r="F64" s="14" t="e">
        <f>(F62/F63)*F46</f>
        <v>#DIV/0!</v>
      </c>
    </row>
    <row r="65" spans="1:7" x14ac:dyDescent="0.25">
      <c r="A65" s="7" t="s">
        <v>131</v>
      </c>
      <c r="B65" s="5">
        <f>B17/B11</f>
        <v>424924.53385070967</v>
      </c>
      <c r="C65" s="5">
        <f t="shared" ref="C65:F65" si="7">C17/C11</f>
        <v>195717</v>
      </c>
      <c r="D65" s="5">
        <f t="shared" si="7"/>
        <v>78285</v>
      </c>
      <c r="E65" s="5">
        <f t="shared" si="7"/>
        <v>512950.09973839106</v>
      </c>
      <c r="F65" s="5" t="e">
        <f t="shared" si="7"/>
        <v>#DIV/0!</v>
      </c>
    </row>
    <row r="66" spans="1:7" x14ac:dyDescent="0.25">
      <c r="A66" s="7" t="s">
        <v>132</v>
      </c>
      <c r="B66" s="5">
        <f>B18/B12</f>
        <v>203274.06244466431</v>
      </c>
      <c r="C66" s="5">
        <f t="shared" ref="C66:F66" si="8">C18/C12</f>
        <v>194404.75707702435</v>
      </c>
      <c r="D66" s="5">
        <f t="shared" si="8"/>
        <v>76756.988021582743</v>
      </c>
      <c r="E66" s="5">
        <f t="shared" si="8"/>
        <v>338315.9017024705</v>
      </c>
      <c r="F66" s="5" t="e">
        <f t="shared" si="8"/>
        <v>#DIV/0!</v>
      </c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44</v>
      </c>
      <c r="B68" s="14"/>
      <c r="C68" s="14"/>
      <c r="D68" s="14"/>
      <c r="E68" s="14"/>
      <c r="F68" s="14"/>
    </row>
    <row r="69" spans="1:7" x14ac:dyDescent="0.25">
      <c r="A69" s="7" t="s">
        <v>45</v>
      </c>
      <c r="B69" s="14">
        <f>(B24/B23)*100</f>
        <v>52.510273887305736</v>
      </c>
      <c r="C69" s="14"/>
      <c r="D69" s="14"/>
      <c r="E69" s="14"/>
      <c r="F69" s="14"/>
      <c r="G69" s="11"/>
    </row>
    <row r="70" spans="1:7" x14ac:dyDescent="0.25">
      <c r="A70" s="7" t="s">
        <v>46</v>
      </c>
      <c r="B70" s="14">
        <f>(B18/B24)*100</f>
        <v>75.231126526542653</v>
      </c>
      <c r="C70" s="14"/>
      <c r="D70" s="14"/>
      <c r="E70" s="14"/>
      <c r="F70" s="14"/>
      <c r="G70" s="11"/>
    </row>
    <row r="71" spans="1:7" ht="15.75" thickBot="1" x14ac:dyDescent="0.3">
      <c r="A71" s="21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59</v>
      </c>
    </row>
    <row r="74" spans="1:7" x14ac:dyDescent="0.25">
      <c r="A74" t="s">
        <v>60</v>
      </c>
    </row>
    <row r="75" spans="1:7" x14ac:dyDescent="0.25">
      <c r="A75" t="s">
        <v>61</v>
      </c>
      <c r="B75" s="16"/>
      <c r="C75" s="16"/>
      <c r="D75" s="16"/>
    </row>
    <row r="76" spans="1:7" x14ac:dyDescent="0.25">
      <c r="A76" t="s">
        <v>82</v>
      </c>
    </row>
    <row r="77" spans="1:7" x14ac:dyDescent="0.25">
      <c r="A77" t="s">
        <v>83</v>
      </c>
    </row>
    <row r="79" spans="1:7" x14ac:dyDescent="0.25">
      <c r="A79" t="s">
        <v>114</v>
      </c>
    </row>
    <row r="80" spans="1:7" x14ac:dyDescent="0.25">
      <c r="A80" t="s">
        <v>115</v>
      </c>
    </row>
    <row r="81" spans="1:1" x14ac:dyDescent="0.25">
      <c r="A81" t="s">
        <v>116</v>
      </c>
    </row>
    <row r="82" spans="1:1" x14ac:dyDescent="0.25">
      <c r="A82" t="s">
        <v>117</v>
      </c>
    </row>
    <row r="83" spans="1:1" x14ac:dyDescent="0.25">
      <c r="A83" t="s">
        <v>128</v>
      </c>
    </row>
  </sheetData>
  <mergeCells count="3">
    <mergeCell ref="A4:A5"/>
    <mergeCell ref="A2:E2"/>
    <mergeCell ref="C4:F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4"/>
  <sheetViews>
    <sheetView workbookViewId="0">
      <pane xSplit="1" ySplit="5" topLeftCell="B132" activePane="bottomRight" state="frozen"/>
      <selection pane="topRight" activeCell="B1" sqref="B1"/>
      <selection pane="bottomLeft" activeCell="A6" sqref="A6"/>
      <selection pane="bottomRight" activeCell="B12" sqref="B12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43" t="s">
        <v>124</v>
      </c>
      <c r="B2" s="43"/>
      <c r="C2" s="43"/>
      <c r="D2" s="43"/>
      <c r="E2" s="43"/>
    </row>
    <row r="4" spans="1:7" ht="15" customHeight="1" x14ac:dyDescent="0.25">
      <c r="A4" s="44" t="s">
        <v>0</v>
      </c>
      <c r="B4" s="18" t="s">
        <v>47</v>
      </c>
      <c r="C4" s="48" t="s">
        <v>2</v>
      </c>
      <c r="D4" s="48"/>
      <c r="E4" s="48"/>
      <c r="F4" s="48"/>
    </row>
    <row r="5" spans="1:7" ht="15.75" thickBot="1" x14ac:dyDescent="0.3">
      <c r="A5" s="45"/>
      <c r="B5" s="1" t="s">
        <v>48</v>
      </c>
      <c r="C5" s="1" t="s">
        <v>3</v>
      </c>
      <c r="D5" s="1" t="s">
        <v>4</v>
      </c>
      <c r="E5" s="1" t="s">
        <v>5</v>
      </c>
      <c r="F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118</v>
      </c>
    </row>
    <row r="10" spans="1:7" x14ac:dyDescent="0.25">
      <c r="A10" s="4" t="s">
        <v>72</v>
      </c>
      <c r="B10" s="5">
        <f t="shared" ref="B10" si="0">SUM(C10:E10)</f>
        <v>1613</v>
      </c>
      <c r="C10" s="5">
        <v>1275</v>
      </c>
      <c r="D10" s="5">
        <v>338</v>
      </c>
      <c r="E10" s="5">
        <v>0</v>
      </c>
      <c r="F10" s="5">
        <v>0</v>
      </c>
      <c r="G10" s="3"/>
    </row>
    <row r="11" spans="1:7" x14ac:dyDescent="0.25">
      <c r="A11" s="6" t="s">
        <v>73</v>
      </c>
      <c r="B11" s="5">
        <f>SUM(C11:E11)</f>
        <v>4045</v>
      </c>
      <c r="C11" s="5">
        <f>(1539+66)*3/3</f>
        <v>1605</v>
      </c>
      <c r="D11" s="5">
        <f>640*3/3</f>
        <v>640</v>
      </c>
      <c r="E11" s="5">
        <v>1800</v>
      </c>
      <c r="F11" s="5">
        <v>27</v>
      </c>
      <c r="G11" s="23"/>
    </row>
    <row r="12" spans="1:7" x14ac:dyDescent="0.25">
      <c r="A12" s="6" t="s">
        <v>74</v>
      </c>
      <c r="B12" s="3">
        <f>SUM(C12:E12)</f>
        <v>5049.3333333333339</v>
      </c>
      <c r="C12" s="3">
        <v>1556</v>
      </c>
      <c r="D12" s="3">
        <v>732.33333333333337</v>
      </c>
      <c r="E12" s="5">
        <v>2761</v>
      </c>
      <c r="F12" s="5">
        <v>0</v>
      </c>
    </row>
    <row r="13" spans="1:7" x14ac:dyDescent="0.25">
      <c r="A13" s="6" t="s">
        <v>11</v>
      </c>
      <c r="B13" s="5">
        <f>SUM(C13:E13)</f>
        <v>4045</v>
      </c>
      <c r="C13" s="5">
        <f>1539+66</f>
        <v>1605</v>
      </c>
      <c r="D13" s="5">
        <f>640</f>
        <v>640</v>
      </c>
      <c r="E13" s="5">
        <v>1800</v>
      </c>
      <c r="F13" s="5">
        <v>27</v>
      </c>
      <c r="G13" s="23"/>
    </row>
    <row r="14" spans="1:7" x14ac:dyDescent="0.25">
      <c r="F14" s="7"/>
      <c r="G14" s="19"/>
    </row>
    <row r="15" spans="1:7" x14ac:dyDescent="0.25">
      <c r="A15" s="8" t="s">
        <v>12</v>
      </c>
      <c r="F15" s="7"/>
      <c r="G15" s="20"/>
    </row>
    <row r="16" spans="1:7" x14ac:dyDescent="0.25">
      <c r="A16" s="4" t="s">
        <v>72</v>
      </c>
      <c r="B16" s="5">
        <f>SUM(C16:E16)</f>
        <v>314048498</v>
      </c>
      <c r="C16" s="5">
        <v>283751207</v>
      </c>
      <c r="D16" s="5">
        <v>30297291</v>
      </c>
      <c r="E16" s="5">
        <v>0</v>
      </c>
      <c r="F16" s="5">
        <v>0</v>
      </c>
    </row>
    <row r="17" spans="1:7" x14ac:dyDescent="0.25">
      <c r="A17" s="6" t="s">
        <v>73</v>
      </c>
      <c r="B17" s="5">
        <f>SUM(C17:F17)</f>
        <v>1929369560</v>
      </c>
      <c r="C17" s="5">
        <f>86726112*3</f>
        <v>260178336</v>
      </c>
      <c r="D17" s="5">
        <f>14730408*3</f>
        <v>44191224</v>
      </c>
      <c r="E17" s="22">
        <f>375000000*3</f>
        <v>1125000000</v>
      </c>
      <c r="F17" s="5">
        <v>500000000</v>
      </c>
      <c r="G17" s="19"/>
    </row>
    <row r="18" spans="1:7" x14ac:dyDescent="0.25">
      <c r="A18" s="6" t="s">
        <v>74</v>
      </c>
      <c r="B18" s="3">
        <f>SUM(C18:E18)</f>
        <v>2125267772.1900001</v>
      </c>
      <c r="C18" s="3">
        <v>592490236.00999999</v>
      </c>
      <c r="D18" s="3">
        <v>95760053.150000006</v>
      </c>
      <c r="E18" s="3">
        <v>1437017483.03</v>
      </c>
      <c r="F18" s="5">
        <v>0</v>
      </c>
    </row>
    <row r="19" spans="1:7" x14ac:dyDescent="0.25">
      <c r="A19" s="6" t="s">
        <v>11</v>
      </c>
      <c r="B19" s="3">
        <f>SUM(C19:F19)</f>
        <v>4464522655</v>
      </c>
      <c r="C19" s="3">
        <f>104708595*9+86726112*3</f>
        <v>1202555691</v>
      </c>
      <c r="D19" s="3">
        <f>16700800*9+14730408*3</f>
        <v>194498424</v>
      </c>
      <c r="E19" s="3">
        <f>70933567.5*8+375000000*4</f>
        <v>2067468540</v>
      </c>
      <c r="F19" s="5">
        <v>1000000000</v>
      </c>
    </row>
    <row r="20" spans="1:7" x14ac:dyDescent="0.25">
      <c r="A20" s="6" t="s">
        <v>75</v>
      </c>
      <c r="B20" s="5">
        <f>SUM(C20:E20)</f>
        <v>2125267772.1900001</v>
      </c>
      <c r="C20" s="5">
        <f>C18</f>
        <v>592490236.00999999</v>
      </c>
      <c r="D20" s="5">
        <f t="shared" ref="D20:E20" si="1">D18</f>
        <v>95760053.150000006</v>
      </c>
      <c r="E20" s="5">
        <f t="shared" si="1"/>
        <v>1437017483.03</v>
      </c>
      <c r="F20" s="5"/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14</v>
      </c>
      <c r="B22" s="5"/>
      <c r="C22" s="5"/>
      <c r="D22" s="5"/>
      <c r="E22" s="5"/>
      <c r="F22" s="5"/>
    </row>
    <row r="23" spans="1:7" x14ac:dyDescent="0.25">
      <c r="A23" s="4" t="s">
        <v>73</v>
      </c>
      <c r="B23" s="5">
        <f>B17</f>
        <v>1929369560</v>
      </c>
      <c r="C23" s="5">
        <f t="shared" ref="C23:E23" si="2">C17</f>
        <v>260178336</v>
      </c>
      <c r="D23" s="5">
        <f t="shared" si="2"/>
        <v>44191224</v>
      </c>
      <c r="E23" s="5">
        <f t="shared" si="2"/>
        <v>1125000000</v>
      </c>
      <c r="F23" s="5">
        <v>0</v>
      </c>
      <c r="G23" s="11"/>
    </row>
    <row r="24" spans="1:7" x14ac:dyDescent="0.25">
      <c r="A24" s="4" t="s">
        <v>74</v>
      </c>
      <c r="B24" s="5">
        <f>SUM(C24:E24)</f>
        <v>2361734156.2200003</v>
      </c>
      <c r="C24" s="24">
        <v>641461974.99000001</v>
      </c>
      <c r="D24" s="24"/>
      <c r="E24" s="5">
        <v>1720272181.23</v>
      </c>
      <c r="F24" s="5">
        <v>0</v>
      </c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15</v>
      </c>
      <c r="B26" s="7"/>
      <c r="C26" s="7"/>
      <c r="D26" s="7"/>
      <c r="E26" s="7"/>
      <c r="F26" s="7"/>
    </row>
    <row r="27" spans="1:7" x14ac:dyDescent="0.25">
      <c r="A27" s="4" t="s">
        <v>76</v>
      </c>
      <c r="B27" s="17">
        <v>1.4207000000000001</v>
      </c>
      <c r="C27" s="17">
        <v>1.4207000000000001</v>
      </c>
      <c r="D27" s="17">
        <v>1.4207000000000001</v>
      </c>
      <c r="E27" s="17">
        <v>1.4207000000000001</v>
      </c>
      <c r="F27" s="17">
        <v>1.4207000000000001</v>
      </c>
    </row>
    <row r="28" spans="1:7" x14ac:dyDescent="0.25">
      <c r="A28" s="4" t="s">
        <v>77</v>
      </c>
      <c r="B28" s="17">
        <v>1.4881</v>
      </c>
      <c r="C28" s="17">
        <v>1.4881</v>
      </c>
      <c r="D28" s="17">
        <v>1.4881</v>
      </c>
      <c r="E28" s="17">
        <v>1.4881</v>
      </c>
      <c r="F28" s="17">
        <v>1.4881</v>
      </c>
    </row>
    <row r="29" spans="1:7" x14ac:dyDescent="0.25">
      <c r="A29" s="4" t="s">
        <v>18</v>
      </c>
      <c r="B29" s="5">
        <v>22909</v>
      </c>
      <c r="C29" s="5">
        <v>22909</v>
      </c>
      <c r="D29" s="5">
        <v>22909</v>
      </c>
      <c r="E29" s="5">
        <v>22909</v>
      </c>
      <c r="F29" s="5">
        <v>22909</v>
      </c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19</v>
      </c>
      <c r="B31" s="7"/>
      <c r="C31" s="7"/>
      <c r="D31" s="7"/>
      <c r="E31" s="7"/>
      <c r="F31" s="7"/>
    </row>
    <row r="32" spans="1:7" x14ac:dyDescent="0.25">
      <c r="A32" s="7" t="s">
        <v>78</v>
      </c>
      <c r="B32" s="5">
        <f>B16/B27</f>
        <v>221051944.81593579</v>
      </c>
      <c r="C32" s="5">
        <f>C16/C27</f>
        <v>199726337.01696345</v>
      </c>
      <c r="D32" s="5">
        <f>D16/D27</f>
        <v>21325607.798972335</v>
      </c>
      <c r="E32" s="5">
        <f>E16/E27</f>
        <v>0</v>
      </c>
      <c r="F32" s="5">
        <f>F16/F27</f>
        <v>0</v>
      </c>
    </row>
    <row r="33" spans="1:6" x14ac:dyDescent="0.25">
      <c r="A33" s="7" t="s">
        <v>79</v>
      </c>
      <c r="B33" s="5">
        <f>B18/B28</f>
        <v>1428175372.7504873</v>
      </c>
      <c r="C33" s="5">
        <f>C18/C28</f>
        <v>398152164.51179355</v>
      </c>
      <c r="D33" s="5">
        <f>D18/D28</f>
        <v>64350549.79504066</v>
      </c>
      <c r="E33" s="5">
        <f>E18/E28</f>
        <v>965672658.44365299</v>
      </c>
      <c r="F33" s="5">
        <f>F18/F28</f>
        <v>0</v>
      </c>
    </row>
    <row r="34" spans="1:6" x14ac:dyDescent="0.25">
      <c r="A34" s="7" t="s">
        <v>80</v>
      </c>
      <c r="B34" s="5">
        <f>B32/(B10*3)</f>
        <v>45681.327715630461</v>
      </c>
      <c r="C34" s="5">
        <f t="shared" ref="C34:F34" si="3">C32/(C10*3)</f>
        <v>52216.035821428355</v>
      </c>
      <c r="D34" s="5">
        <f t="shared" si="3"/>
        <v>21031.171399381001</v>
      </c>
      <c r="E34" s="5" t="e">
        <f t="shared" si="3"/>
        <v>#DIV/0!</v>
      </c>
      <c r="F34" s="5" t="e">
        <f t="shared" si="3"/>
        <v>#DIV/0!</v>
      </c>
    </row>
    <row r="35" spans="1:6" x14ac:dyDescent="0.25">
      <c r="A35" s="7" t="s">
        <v>81</v>
      </c>
      <c r="B35" s="5">
        <f>B33/(B12*3)</f>
        <v>94281.447897444363</v>
      </c>
      <c r="C35" s="5">
        <f t="shared" ref="C35:F35" si="4">C33/(C12*3)</f>
        <v>85293.951266451055</v>
      </c>
      <c r="D35" s="5">
        <f t="shared" si="4"/>
        <v>29290.191076486419</v>
      </c>
      <c r="E35" s="5">
        <f t="shared" si="4"/>
        <v>116584.89175946554</v>
      </c>
      <c r="F35" s="5" t="e">
        <f t="shared" si="4"/>
        <v>#DIV/0!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24</v>
      </c>
      <c r="F37" s="7"/>
    </row>
    <row r="38" spans="1:6" x14ac:dyDescent="0.25">
      <c r="F38" s="7"/>
    </row>
    <row r="39" spans="1:6" x14ac:dyDescent="0.25">
      <c r="A39" t="s">
        <v>25</v>
      </c>
      <c r="F39" s="7"/>
    </row>
    <row r="40" spans="1:6" x14ac:dyDescent="0.25">
      <c r="A40" t="s">
        <v>26</v>
      </c>
      <c r="B40" s="14">
        <f>B11/B29*100</f>
        <v>17.656816098476583</v>
      </c>
      <c r="C40" s="14">
        <f>C11/C29*100</f>
        <v>7.005980182461041</v>
      </c>
      <c r="D40" s="14">
        <f>D11/D29*100</f>
        <v>2.7936618796106334</v>
      </c>
      <c r="E40" s="14">
        <f>E11/E29*100</f>
        <v>7.8571740364049072</v>
      </c>
      <c r="F40" s="14">
        <f>F11/F29*100</f>
        <v>0.1178576105460736</v>
      </c>
    </row>
    <row r="41" spans="1:6" x14ac:dyDescent="0.25">
      <c r="A41" t="s">
        <v>27</v>
      </c>
      <c r="B41" s="14">
        <f>B12/B29*100</f>
        <v>22.040828204344727</v>
      </c>
      <c r="C41" s="14">
        <f>C12/C29*100</f>
        <v>6.7920904448033514</v>
      </c>
      <c r="D41" s="14">
        <f>D12/D29*100</f>
        <v>3.1967058070336258</v>
      </c>
      <c r="E41" s="14">
        <f>E12/E29*100</f>
        <v>12.052031952507749</v>
      </c>
      <c r="F41" s="14">
        <f>F12/F29*100</f>
        <v>0</v>
      </c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28</v>
      </c>
      <c r="B43" s="7"/>
      <c r="C43" s="7"/>
      <c r="D43" s="7"/>
      <c r="E43" s="7"/>
      <c r="F43" s="7"/>
    </row>
    <row r="44" spans="1:6" x14ac:dyDescent="0.25">
      <c r="A44" t="s">
        <v>29</v>
      </c>
      <c r="B44" s="14">
        <f>B12/B11*100</f>
        <v>124.82900700453237</v>
      </c>
      <c r="C44" s="14">
        <f>C12/C11*100</f>
        <v>96.947040498442377</v>
      </c>
      <c r="D44" s="14">
        <f>D12/D11*100</f>
        <v>114.42708333333333</v>
      </c>
      <c r="E44" s="14">
        <f>E12/E11*100</f>
        <v>153.38888888888889</v>
      </c>
      <c r="F44" s="14">
        <f>F12/F11*100</f>
        <v>0</v>
      </c>
    </row>
    <row r="45" spans="1:6" x14ac:dyDescent="0.25">
      <c r="A45" t="s">
        <v>30</v>
      </c>
      <c r="B45" s="14">
        <f>B18/B17*100</f>
        <v>110.15348309890409</v>
      </c>
      <c r="C45" s="14">
        <f>C18/C17*100</f>
        <v>227.7246619065163</v>
      </c>
      <c r="D45" s="14">
        <f>D18/D17*100</f>
        <v>216.69472913898019</v>
      </c>
      <c r="E45" s="14">
        <f>E18/E17*100</f>
        <v>127.73488738044445</v>
      </c>
      <c r="F45" s="14">
        <f>F18/F17*100</f>
        <v>0</v>
      </c>
    </row>
    <row r="46" spans="1:6" x14ac:dyDescent="0.25">
      <c r="A46" s="7" t="s">
        <v>31</v>
      </c>
      <c r="B46" s="14">
        <f>AVERAGE(B44:B45)</f>
        <v>117.49124505171824</v>
      </c>
      <c r="C46" s="14">
        <f>AVERAGE(C44:C45)</f>
        <v>162.33585120247935</v>
      </c>
      <c r="D46" s="14">
        <f>AVERAGE(D44:D45)</f>
        <v>165.56090623615677</v>
      </c>
      <c r="E46" s="14">
        <f>AVERAGE(E44:E45)</f>
        <v>140.56188813466667</v>
      </c>
      <c r="F46" s="14">
        <f>AVERAGE(F44:F45)</f>
        <v>0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32</v>
      </c>
      <c r="B48" s="7"/>
      <c r="C48" s="7"/>
      <c r="D48" s="7"/>
      <c r="E48" s="7"/>
      <c r="F48" s="7"/>
    </row>
    <row r="49" spans="1:7" x14ac:dyDescent="0.25">
      <c r="A49" s="7" t="s">
        <v>33</v>
      </c>
      <c r="B49" s="14">
        <f>(B12/(B13))*100</f>
        <v>124.82900700453237</v>
      </c>
      <c r="C49" s="14">
        <f t="shared" ref="C49:E49" si="5">(C12/(C13))*100</f>
        <v>96.947040498442377</v>
      </c>
      <c r="D49" s="14">
        <f t="shared" si="5"/>
        <v>114.42708333333333</v>
      </c>
      <c r="E49" s="14">
        <f t="shared" si="5"/>
        <v>153.38888888888889</v>
      </c>
      <c r="F49" s="14">
        <f>(F12*3)/F13*100</f>
        <v>0</v>
      </c>
    </row>
    <row r="50" spans="1:7" x14ac:dyDescent="0.25">
      <c r="A50" s="7" t="s">
        <v>34</v>
      </c>
      <c r="B50" s="14">
        <f>B18/B19*100</f>
        <v>47.603471556132135</v>
      </c>
      <c r="C50" s="14">
        <f>C18/C19*100</f>
        <v>49.269255506770534</v>
      </c>
      <c r="D50" s="14">
        <f>D18/D19*100</f>
        <v>49.234359425966353</v>
      </c>
      <c r="E50" s="14">
        <f>E18/E19*100</f>
        <v>69.506135412827135</v>
      </c>
      <c r="F50" s="14">
        <f>F18/F19*100</f>
        <v>0</v>
      </c>
    </row>
    <row r="51" spans="1:7" x14ac:dyDescent="0.25">
      <c r="A51" s="7" t="s">
        <v>35</v>
      </c>
      <c r="B51" s="14">
        <f>(B49+B50)/2</f>
        <v>86.216239280332246</v>
      </c>
      <c r="C51" s="14">
        <f>(C49+C50)/2</f>
        <v>73.108148002606455</v>
      </c>
      <c r="D51" s="14">
        <f>(D49+D50)/2</f>
        <v>81.830721379649844</v>
      </c>
      <c r="E51" s="14">
        <f>(E49+E50)/2</f>
        <v>111.44751215085802</v>
      </c>
      <c r="F51" s="14">
        <f>(F49+F50)/2</f>
        <v>0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36</v>
      </c>
      <c r="B53" s="7"/>
      <c r="C53" s="7"/>
      <c r="D53" s="7"/>
      <c r="E53" s="7"/>
      <c r="F53" s="7"/>
    </row>
    <row r="54" spans="1:7" x14ac:dyDescent="0.25">
      <c r="A54" s="7" t="s">
        <v>37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 t="e">
        <f>F20/F18*100</f>
        <v>#DIV/0!</v>
      </c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38</v>
      </c>
      <c r="B56" s="7"/>
      <c r="C56" s="7"/>
      <c r="D56" s="7"/>
      <c r="E56" s="7"/>
      <c r="F56" s="7"/>
    </row>
    <row r="57" spans="1:7" x14ac:dyDescent="0.25">
      <c r="A57" s="7" t="s">
        <v>39</v>
      </c>
      <c r="B57" s="14">
        <f>((B12/B10)-1)*100</f>
        <v>213.03988427361026</v>
      </c>
      <c r="C57" s="14">
        <f>((C12/C10)-1)*100</f>
        <v>22.039215686274517</v>
      </c>
      <c r="D57" s="14">
        <f>((D12/D10)-1)*100</f>
        <v>116.6666666666667</v>
      </c>
      <c r="E57" s="14" t="e">
        <f>((E12/E10)-1)*100</f>
        <v>#DIV/0!</v>
      </c>
      <c r="F57" s="14" t="e">
        <f>((F12/F10)-1)*100</f>
        <v>#DIV/0!</v>
      </c>
    </row>
    <row r="58" spans="1:7" x14ac:dyDescent="0.25">
      <c r="A58" s="7" t="s">
        <v>40</v>
      </c>
      <c r="B58" s="14">
        <f>((B33/B32)-1)*100</f>
        <v>546.08134252774471</v>
      </c>
      <c r="C58" s="14">
        <f>((C33/C32)-1)*100</f>
        <v>99.348854266514223</v>
      </c>
      <c r="D58" s="14">
        <f>((D33/D32)-1)*100</f>
        <v>201.75247712349687</v>
      </c>
      <c r="E58" s="14" t="e">
        <f>((E33/E32)-1)*100</f>
        <v>#DIV/0!</v>
      </c>
      <c r="F58" s="14" t="e">
        <f>((F33/F32)-1)*100</f>
        <v>#DIV/0!</v>
      </c>
      <c r="G58" s="14"/>
    </row>
    <row r="59" spans="1:7" x14ac:dyDescent="0.25">
      <c r="A59" s="7" t="s">
        <v>41</v>
      </c>
      <c r="B59" s="14">
        <f>((B35/B34)-1)*100</f>
        <v>106.38946504434621</v>
      </c>
      <c r="C59" s="14">
        <f>((C35/C34)-1)*100</f>
        <v>63.348193566713128</v>
      </c>
      <c r="D59" s="14">
        <f>((D35/D34)-1)*100</f>
        <v>39.270374056998556</v>
      </c>
      <c r="E59" s="14" t="e">
        <f>((E35/E34)-1)*100</f>
        <v>#DIV/0!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42</v>
      </c>
      <c r="B61" s="7"/>
      <c r="C61" s="7"/>
      <c r="D61" s="7"/>
      <c r="E61" s="7"/>
      <c r="F61" s="7"/>
    </row>
    <row r="62" spans="1:7" x14ac:dyDescent="0.25">
      <c r="A62" s="7" t="s">
        <v>129</v>
      </c>
      <c r="B62" s="5">
        <f>B17/(B11*3)</f>
        <v>158992.13514627112</v>
      </c>
      <c r="C62" s="5">
        <f t="shared" ref="C62:E63" si="6">C17/(C11*3)</f>
        <v>54034.96074766355</v>
      </c>
      <c r="D62" s="5">
        <f t="shared" si="6"/>
        <v>23016.262500000001</v>
      </c>
      <c r="E62" s="5">
        <f t="shared" si="6"/>
        <v>208333.33333333334</v>
      </c>
      <c r="F62" s="5">
        <f>F17/(F11*3)</f>
        <v>6172839.5061728396</v>
      </c>
    </row>
    <row r="63" spans="1:7" x14ac:dyDescent="0.25">
      <c r="A63" s="7" t="s">
        <v>130</v>
      </c>
      <c r="B63" s="5">
        <f>$B$18/(B12*3)</f>
        <v>140300.22261618695</v>
      </c>
      <c r="C63" s="5">
        <f>C18/(C12*3)</f>
        <v>126925.92887960582</v>
      </c>
      <c r="D63" s="5">
        <f t="shared" si="6"/>
        <v>43586.73334091944</v>
      </c>
      <c r="E63" s="5">
        <f t="shared" si="6"/>
        <v>173489.97742726066</v>
      </c>
      <c r="F63" s="5" t="e">
        <f>$B$18/(F12*3)</f>
        <v>#DIV/0!</v>
      </c>
    </row>
    <row r="64" spans="1:7" x14ac:dyDescent="0.25">
      <c r="A64" s="7" t="s">
        <v>43</v>
      </c>
      <c r="B64" s="14">
        <f>(B62/B63)*B46</f>
        <v>133.14436401764655</v>
      </c>
      <c r="C64" s="14">
        <f>(C62/C63)*C46</f>
        <v>69.109688029030906</v>
      </c>
      <c r="D64" s="14">
        <f>(D62/D63)*D46</f>
        <v>87.42553032970396</v>
      </c>
      <c r="E64" s="14">
        <f>E62/E63*E46</f>
        <v>168.79203703280237</v>
      </c>
      <c r="F64" s="14" t="e">
        <f>(F62/F63)*F46</f>
        <v>#DIV/0!</v>
      </c>
      <c r="G64" s="11"/>
    </row>
    <row r="65" spans="1:7" x14ac:dyDescent="0.25">
      <c r="A65" s="7" t="s">
        <v>131</v>
      </c>
      <c r="B65" s="5">
        <f>B17/B11</f>
        <v>476976.40543881332</v>
      </c>
      <c r="C65" s="5">
        <f t="shared" ref="C65:F65" si="7">C17/C11</f>
        <v>162104.88224299066</v>
      </c>
      <c r="D65" s="5">
        <f t="shared" si="7"/>
        <v>69048.787500000006</v>
      </c>
      <c r="E65" s="5">
        <f t="shared" si="7"/>
        <v>625000</v>
      </c>
      <c r="F65" s="5">
        <f t="shared" si="7"/>
        <v>18518518.518518519</v>
      </c>
      <c r="G65" s="11"/>
    </row>
    <row r="66" spans="1:7" x14ac:dyDescent="0.25">
      <c r="A66" s="7" t="s">
        <v>132</v>
      </c>
      <c r="B66" s="5">
        <f>B18/B12</f>
        <v>420900.66784856084</v>
      </c>
      <c r="C66" s="5">
        <f t="shared" ref="C66:F66" si="8">C18/C12</f>
        <v>380777.78663881746</v>
      </c>
      <c r="D66" s="5">
        <f t="shared" si="8"/>
        <v>130760.2000227583</v>
      </c>
      <c r="E66" s="5">
        <f t="shared" si="8"/>
        <v>520469.93228178198</v>
      </c>
      <c r="F66" s="5" t="e">
        <f t="shared" si="8"/>
        <v>#DIV/0!</v>
      </c>
      <c r="G66" s="11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44</v>
      </c>
      <c r="B68" s="14"/>
      <c r="C68" s="14"/>
      <c r="D68" s="14"/>
      <c r="E68" s="14"/>
      <c r="F68" s="14"/>
    </row>
    <row r="69" spans="1:7" x14ac:dyDescent="0.25">
      <c r="A69" s="7" t="s">
        <v>45</v>
      </c>
      <c r="B69" s="14">
        <f>(B24/B23)*100</f>
        <v>122.40963085475445</v>
      </c>
      <c r="C69" s="14"/>
      <c r="D69" s="14"/>
      <c r="E69" s="14"/>
      <c r="F69" s="14"/>
      <c r="G69" s="11"/>
    </row>
    <row r="70" spans="1:7" x14ac:dyDescent="0.25">
      <c r="A70" s="7" t="s">
        <v>46</v>
      </c>
      <c r="B70" s="14">
        <f>(B18/B24)*100</f>
        <v>89.987595199602438</v>
      </c>
      <c r="C70" s="14"/>
      <c r="D70" s="14"/>
      <c r="E70" s="14"/>
      <c r="F70" s="14"/>
      <c r="G70" s="11"/>
    </row>
    <row r="71" spans="1:7" ht="15.75" thickBot="1" x14ac:dyDescent="0.3">
      <c r="A71" s="21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59</v>
      </c>
    </row>
    <row r="74" spans="1:7" x14ac:dyDescent="0.25">
      <c r="A74" t="s">
        <v>60</v>
      </c>
    </row>
    <row r="75" spans="1:7" x14ac:dyDescent="0.25">
      <c r="A75" t="s">
        <v>61</v>
      </c>
      <c r="B75" s="16"/>
      <c r="C75" s="16"/>
      <c r="D75" s="16"/>
    </row>
    <row r="76" spans="1:7" x14ac:dyDescent="0.25">
      <c r="A76" t="s">
        <v>82</v>
      </c>
    </row>
    <row r="77" spans="1:7" x14ac:dyDescent="0.25">
      <c r="A77" t="s">
        <v>83</v>
      </c>
    </row>
    <row r="79" spans="1:7" x14ac:dyDescent="0.25">
      <c r="A79" t="s">
        <v>114</v>
      </c>
    </row>
    <row r="80" spans="1:7" x14ac:dyDescent="0.25">
      <c r="A80" t="s">
        <v>115</v>
      </c>
    </row>
    <row r="81" spans="1:1" x14ac:dyDescent="0.25">
      <c r="A81" t="s">
        <v>116</v>
      </c>
    </row>
    <row r="82" spans="1:1" x14ac:dyDescent="0.25">
      <c r="A82" t="s">
        <v>117</v>
      </c>
    </row>
    <row r="83" spans="1:1" x14ac:dyDescent="0.25">
      <c r="A83" t="s">
        <v>128</v>
      </c>
    </row>
    <row r="84" spans="1:1" x14ac:dyDescent="0.25">
      <c r="A84" t="s">
        <v>119</v>
      </c>
    </row>
  </sheetData>
  <mergeCells count="3">
    <mergeCell ref="A4:A5"/>
    <mergeCell ref="A2:E2"/>
    <mergeCell ref="C4:F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B96" activePane="bottomRight" state="frozen"/>
      <selection pane="topRight" activeCell="B1" sqref="B1"/>
      <selection pane="bottomLeft" activeCell="A6" sqref="A6"/>
      <selection pane="bottomRight" activeCell="B49" sqref="B49:E49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43" t="s">
        <v>125</v>
      </c>
      <c r="B2" s="43"/>
      <c r="C2" s="43"/>
      <c r="D2" s="43"/>
      <c r="E2" s="43"/>
    </row>
    <row r="4" spans="1:7" x14ac:dyDescent="0.25">
      <c r="A4" s="44" t="s">
        <v>0</v>
      </c>
      <c r="B4" s="18" t="s">
        <v>47</v>
      </c>
      <c r="C4" s="48" t="s">
        <v>2</v>
      </c>
      <c r="D4" s="48"/>
      <c r="E4" s="48"/>
      <c r="F4" s="48"/>
    </row>
    <row r="5" spans="1:7" ht="15.75" thickBot="1" x14ac:dyDescent="0.3">
      <c r="A5" s="45"/>
      <c r="B5" s="1" t="s">
        <v>48</v>
      </c>
      <c r="C5" s="1" t="s">
        <v>3</v>
      </c>
      <c r="D5" s="1" t="s">
        <v>4</v>
      </c>
      <c r="E5" s="1" t="s">
        <v>5</v>
      </c>
      <c r="F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118</v>
      </c>
    </row>
    <row r="10" spans="1:7" x14ac:dyDescent="0.25">
      <c r="A10" s="4" t="s">
        <v>84</v>
      </c>
      <c r="B10" s="5">
        <f t="shared" ref="B10" si="0">SUM(C10:E10)</f>
        <v>1661.8333333333335</v>
      </c>
      <c r="C10" s="5">
        <f>('I Trimestre'!C10+'II Trimestre'!C10)/2</f>
        <v>1305.1666666666667</v>
      </c>
      <c r="D10" s="5">
        <f>('I Trimestre'!D10+'II Trimestre'!D10)/2</f>
        <v>356.66666666666663</v>
      </c>
      <c r="E10" s="5">
        <f>('I Trimestre'!E10+'II Trimestre'!E10)/2</f>
        <v>0</v>
      </c>
      <c r="F10" s="5">
        <f>('I Trimestre'!F10+'II Trimestre'!F10)/2</f>
        <v>0</v>
      </c>
      <c r="G10" s="3"/>
    </row>
    <row r="11" spans="1:7" x14ac:dyDescent="0.25">
      <c r="A11" s="6" t="s">
        <v>85</v>
      </c>
      <c r="B11" s="5">
        <f>SUM(C11:E11)</f>
        <v>2874</v>
      </c>
      <c r="C11" s="5">
        <f>('I Trimestre'!C11+'II Trimestre'!C11)/2</f>
        <v>1605</v>
      </c>
      <c r="D11" s="5">
        <f>('I Trimestre'!D11+'II Trimestre'!D11)/2</f>
        <v>640</v>
      </c>
      <c r="E11" s="5">
        <f>('I Trimestre'!E11+'II Trimestre'!E11)/2</f>
        <v>629</v>
      </c>
      <c r="F11" s="5">
        <f>('I Trimestre'!F11+'II Trimestre'!F11)/2</f>
        <v>0</v>
      </c>
      <c r="G11" s="19"/>
    </row>
    <row r="12" spans="1:7" x14ac:dyDescent="0.25">
      <c r="A12" s="6" t="s">
        <v>86</v>
      </c>
      <c r="B12" s="3">
        <f>SUM(C12:E12)</f>
        <v>2261.1666666666665</v>
      </c>
      <c r="C12" s="5">
        <f>('I Trimestre'!C12+'II Trimestre'!C12)/2</f>
        <v>1368</v>
      </c>
      <c r="D12" s="5">
        <f>('I Trimestre'!D12+'II Trimestre'!D12)/2</f>
        <v>522.5</v>
      </c>
      <c r="E12" s="5">
        <f>('I Trimestre'!E12+'II Trimestre'!E12)/2</f>
        <v>370.66666666666669</v>
      </c>
      <c r="F12" s="5">
        <f>('I Trimestre'!F12+'II Trimestre'!F12)/2</f>
        <v>0</v>
      </c>
    </row>
    <row r="13" spans="1:7" x14ac:dyDescent="0.25">
      <c r="A13" s="6" t="s">
        <v>11</v>
      </c>
      <c r="B13" s="5">
        <f>SUM(C13:E13)</f>
        <v>2874</v>
      </c>
      <c r="C13" s="5">
        <f>'II Trimestre'!C13</f>
        <v>1605</v>
      </c>
      <c r="D13" s="5">
        <f>'II Trimestre'!D13</f>
        <v>640</v>
      </c>
      <c r="E13" s="5">
        <f>'II Trimestre'!E13</f>
        <v>629</v>
      </c>
      <c r="F13" s="5">
        <f>'II Trimestre'!F13</f>
        <v>0</v>
      </c>
      <c r="G13" s="19"/>
    </row>
    <row r="14" spans="1:7" x14ac:dyDescent="0.25">
      <c r="F14" s="7"/>
      <c r="G14" s="19"/>
    </row>
    <row r="15" spans="1:7" x14ac:dyDescent="0.25">
      <c r="A15" s="8" t="s">
        <v>12</v>
      </c>
      <c r="F15" s="7"/>
      <c r="G15" s="20"/>
    </row>
    <row r="16" spans="1:7" x14ac:dyDescent="0.25">
      <c r="A16" s="4" t="s">
        <v>84</v>
      </c>
      <c r="B16" s="5">
        <f t="shared" ref="B16" si="1">SUM(C16:E16)</f>
        <v>643789168.32999992</v>
      </c>
      <c r="C16" s="5">
        <f>'I Trimestre'!C16+'II Trimestre'!C16</f>
        <v>580015230.06999993</v>
      </c>
      <c r="D16" s="5">
        <f>'I Trimestre'!D16+'II Trimestre'!D16</f>
        <v>63773938.259999998</v>
      </c>
      <c r="E16" s="5">
        <f>'I Trimestre'!E16+'II Trimestre'!E16</f>
        <v>0</v>
      </c>
      <c r="F16" s="5">
        <f>'I Trimestre'!F16+'II Trimestre'!F16</f>
        <v>0</v>
      </c>
    </row>
    <row r="17" spans="1:7" x14ac:dyDescent="0.25">
      <c r="A17" s="6" t="s">
        <v>85</v>
      </c>
      <c r="B17" s="5">
        <f>SUM(C17:F17)</f>
        <v>1154057773.4352</v>
      </c>
      <c r="C17" s="5">
        <f>'I Trimestre'!C17+'II Trimestre'!C17</f>
        <v>626420963.63999999</v>
      </c>
      <c r="D17" s="5">
        <f>'I Trimestre'!D17+'II Trimestre'!D17</f>
        <v>102035406.36</v>
      </c>
      <c r="E17" s="5">
        <f>'I Trimestre'!E17+'II Trimestre'!E17</f>
        <v>425601403.43519998</v>
      </c>
      <c r="F17" s="5">
        <f>'I Trimestre'!F17+'II Trimestre'!F17</f>
        <v>0</v>
      </c>
      <c r="G17" s="19"/>
    </row>
    <row r="18" spans="1:7" x14ac:dyDescent="0.25">
      <c r="A18" s="6" t="s">
        <v>86</v>
      </c>
      <c r="B18" s="3">
        <f>SUM(C18:E18)</f>
        <v>863522925.64999998</v>
      </c>
      <c r="C18" s="5">
        <f>'I Trimestre'!C18+'II Trimestre'!C18</f>
        <v>531562199.00999999</v>
      </c>
      <c r="D18" s="5">
        <f>'I Trimestre'!D18+'II Trimestre'!D18</f>
        <v>81155876.520000011</v>
      </c>
      <c r="E18" s="5">
        <f>'I Trimestre'!E18+'II Trimestre'!E18</f>
        <v>250804850.12</v>
      </c>
      <c r="F18" s="5">
        <f>'I Trimestre'!F18+'II Trimestre'!F18</f>
        <v>0</v>
      </c>
    </row>
    <row r="19" spans="1:7" x14ac:dyDescent="0.25">
      <c r="A19" s="6" t="s">
        <v>11</v>
      </c>
      <c r="B19" s="5">
        <f>'II Trimestre'!B19</f>
        <v>2308115550</v>
      </c>
      <c r="C19" s="5">
        <f>'II Trimestre'!C19</f>
        <v>1250955848</v>
      </c>
      <c r="D19" s="5">
        <f>'II Trimestre'!D19</f>
        <v>205956892</v>
      </c>
      <c r="E19" s="5">
        <f>'II Trimestre'!E19</f>
        <v>851202810</v>
      </c>
      <c r="F19" s="5">
        <f>'II Trimestre'!F19</f>
        <v>0</v>
      </c>
    </row>
    <row r="20" spans="1:7" x14ac:dyDescent="0.25">
      <c r="A20" s="6" t="s">
        <v>87</v>
      </c>
      <c r="B20" s="5">
        <f>SUM(C20:E20)</f>
        <v>863522925.64999998</v>
      </c>
      <c r="C20" s="5">
        <f>C18</f>
        <v>531562199.00999999</v>
      </c>
      <c r="D20" s="5">
        <f t="shared" ref="D20:E20" si="2">D18</f>
        <v>81155876.520000011</v>
      </c>
      <c r="E20" s="5">
        <f t="shared" si="2"/>
        <v>250804850.12</v>
      </c>
      <c r="F20" s="5"/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14</v>
      </c>
      <c r="B22" s="5"/>
      <c r="C22" s="5"/>
      <c r="D22" s="5"/>
      <c r="E22" s="5"/>
      <c r="F22" s="5"/>
    </row>
    <row r="23" spans="1:7" x14ac:dyDescent="0.25">
      <c r="A23" s="4" t="s">
        <v>85</v>
      </c>
      <c r="B23" s="5">
        <f>B17</f>
        <v>1154057773.4352</v>
      </c>
      <c r="C23" s="5">
        <f t="shared" ref="C23:E23" si="3">C17</f>
        <v>626420963.63999999</v>
      </c>
      <c r="D23" s="5">
        <f t="shared" si="3"/>
        <v>102035406.36</v>
      </c>
      <c r="E23" s="5">
        <f t="shared" si="3"/>
        <v>425601403.43519998</v>
      </c>
      <c r="F23" s="5">
        <v>0</v>
      </c>
      <c r="G23" s="11"/>
    </row>
    <row r="24" spans="1:7" x14ac:dyDescent="0.25">
      <c r="A24" s="4" t="s">
        <v>86</v>
      </c>
      <c r="B24" s="5">
        <f>'I Trimestre'!B24+'II Trimestre'!B24</f>
        <v>907567330.80999994</v>
      </c>
      <c r="C24" s="49"/>
      <c r="D24" s="49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15</v>
      </c>
      <c r="B26" s="7"/>
      <c r="C26" s="7"/>
      <c r="D26" s="7"/>
      <c r="E26" s="7"/>
      <c r="F26" s="7"/>
    </row>
    <row r="27" spans="1:7" x14ac:dyDescent="0.25">
      <c r="A27" s="4" t="s">
        <v>88</v>
      </c>
      <c r="B27" s="17">
        <v>1.3875734139666667</v>
      </c>
      <c r="C27" s="17">
        <v>1.3875734139666667</v>
      </c>
      <c r="D27" s="17">
        <v>1.3875734139666667</v>
      </c>
      <c r="E27" s="17">
        <v>1.3875734139666667</v>
      </c>
      <c r="F27" s="17">
        <v>1.38757341396667</v>
      </c>
    </row>
    <row r="28" spans="1:7" x14ac:dyDescent="0.25">
      <c r="A28" s="4" t="s">
        <v>89</v>
      </c>
      <c r="B28" s="17">
        <v>1.45394391315</v>
      </c>
      <c r="C28" s="17">
        <v>1.45394391315</v>
      </c>
      <c r="D28" s="17">
        <v>1.45394391315</v>
      </c>
      <c r="E28" s="17">
        <v>1.45394391315</v>
      </c>
      <c r="F28" s="17">
        <v>1.45394391315</v>
      </c>
    </row>
    <row r="29" spans="1:7" x14ac:dyDescent="0.25">
      <c r="A29" s="4" t="s">
        <v>18</v>
      </c>
      <c r="B29" s="5">
        <v>22909</v>
      </c>
      <c r="C29" s="5">
        <v>22909</v>
      </c>
      <c r="D29" s="5">
        <v>22909</v>
      </c>
      <c r="E29" s="5">
        <v>22909</v>
      </c>
      <c r="F29" s="5">
        <v>22909</v>
      </c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19</v>
      </c>
      <c r="B31" s="7"/>
      <c r="C31" s="7"/>
      <c r="D31" s="7"/>
      <c r="E31" s="7"/>
      <c r="F31" s="7"/>
    </row>
    <row r="32" spans="1:7" x14ac:dyDescent="0.25">
      <c r="A32" s="7" t="s">
        <v>90</v>
      </c>
      <c r="B32" s="5">
        <f>B16/B27</f>
        <v>463967644.41428357</v>
      </c>
      <c r="C32" s="5">
        <f>C16/C27</f>
        <v>418006877.49695778</v>
      </c>
      <c r="D32" s="5">
        <f>D16/D27</f>
        <v>45960766.917325802</v>
      </c>
      <c r="E32" s="5">
        <f>E16/E27</f>
        <v>0</v>
      </c>
      <c r="F32" s="5">
        <f>F16/F27</f>
        <v>0</v>
      </c>
    </row>
    <row r="33" spans="1:6" x14ac:dyDescent="0.25">
      <c r="A33" s="7" t="s">
        <v>91</v>
      </c>
      <c r="B33" s="5">
        <f>B18/B28</f>
        <v>593917631.78756976</v>
      </c>
      <c r="C33" s="5">
        <f>C18/C28</f>
        <v>365600209.33569527</v>
      </c>
      <c r="D33" s="5">
        <f>D18/D28</f>
        <v>55817749.079587325</v>
      </c>
      <c r="E33" s="5">
        <f>E18/E28</f>
        <v>172499673.37228712</v>
      </c>
      <c r="F33" s="5">
        <f>F18/F28</f>
        <v>0</v>
      </c>
    </row>
    <row r="34" spans="1:6" x14ac:dyDescent="0.25">
      <c r="A34" s="7" t="s">
        <v>92</v>
      </c>
      <c r="B34" s="5">
        <f>B32/(B10*6)</f>
        <v>46531.706389959239</v>
      </c>
      <c r="C34" s="5">
        <f t="shared" ref="C34:F35" si="4">C32/(C10*6)</f>
        <v>53378.480078784036</v>
      </c>
      <c r="D34" s="5">
        <f t="shared" si="4"/>
        <v>21476.993886600842</v>
      </c>
      <c r="E34" s="5" t="e">
        <f t="shared" si="4"/>
        <v>#DIV/0!</v>
      </c>
      <c r="F34" s="5" t="e">
        <f t="shared" si="4"/>
        <v>#DIV/0!</v>
      </c>
    </row>
    <row r="35" spans="1:6" x14ac:dyDescent="0.25">
      <c r="A35" s="7" t="s">
        <v>93</v>
      </c>
      <c r="B35" s="5">
        <f>B33/(B11*6)</f>
        <v>34441.987461584882</v>
      </c>
      <c r="C35" s="5">
        <f t="shared" si="4"/>
        <v>37964.715403498987</v>
      </c>
      <c r="D35" s="5">
        <f t="shared" si="4"/>
        <v>14535.872156142532</v>
      </c>
      <c r="E35" s="5">
        <f t="shared" si="4"/>
        <v>45707.385631236655</v>
      </c>
      <c r="F35" s="5" t="e">
        <f t="shared" si="4"/>
        <v>#DIV/0!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24</v>
      </c>
      <c r="F37" s="7"/>
    </row>
    <row r="38" spans="1:6" x14ac:dyDescent="0.25">
      <c r="F38" s="7"/>
    </row>
    <row r="39" spans="1:6" x14ac:dyDescent="0.25">
      <c r="A39" t="s">
        <v>25</v>
      </c>
      <c r="F39" s="7"/>
    </row>
    <row r="40" spans="1:6" x14ac:dyDescent="0.25">
      <c r="A40" t="s">
        <v>26</v>
      </c>
      <c r="B40" s="14">
        <f>(B11/(B29))*100</f>
        <v>12.545287878126501</v>
      </c>
      <c r="C40" s="14">
        <f t="shared" ref="C40:E40" si="5">(C11/(C29))*100</f>
        <v>7.005980182461041</v>
      </c>
      <c r="D40" s="14">
        <f t="shared" si="5"/>
        <v>2.7936618796106334</v>
      </c>
      <c r="E40" s="14">
        <f t="shared" si="5"/>
        <v>2.7456458160548256</v>
      </c>
      <c r="F40" s="14">
        <f>(F11/(F29))*100</f>
        <v>0</v>
      </c>
    </row>
    <row r="41" spans="1:6" x14ac:dyDescent="0.25">
      <c r="A41" t="s">
        <v>27</v>
      </c>
      <c r="B41" s="14">
        <f>(B12/(B29))*100</f>
        <v>9.8702111251764215</v>
      </c>
      <c r="C41" s="14">
        <f t="shared" ref="C41:E41" si="6">(C12/(C29))*100</f>
        <v>5.9714522676677291</v>
      </c>
      <c r="D41" s="14">
        <f t="shared" si="6"/>
        <v>2.2807630189008687</v>
      </c>
      <c r="E41" s="14">
        <f t="shared" si="6"/>
        <v>1.6179958386078255</v>
      </c>
      <c r="F41" s="14">
        <f>(F12/(F29))*100</f>
        <v>0</v>
      </c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28</v>
      </c>
      <c r="B43" s="7"/>
      <c r="C43" s="7"/>
      <c r="D43" s="7"/>
      <c r="E43" s="7"/>
      <c r="F43" s="7"/>
    </row>
    <row r="44" spans="1:6" x14ac:dyDescent="0.25">
      <c r="A44" t="s">
        <v>29</v>
      </c>
      <c r="B44" s="14">
        <f>B12/B11*100</f>
        <v>78.676641150545109</v>
      </c>
      <c r="C44" s="14">
        <f>C12/C11*100</f>
        <v>85.233644859813083</v>
      </c>
      <c r="D44" s="14">
        <f>D12/D11*100</f>
        <v>81.640625</v>
      </c>
      <c r="E44" s="14">
        <f>E12/E11*100</f>
        <v>58.929517753047165</v>
      </c>
      <c r="F44" s="14" t="e">
        <f>F12/F11*100</f>
        <v>#DIV/0!</v>
      </c>
    </row>
    <row r="45" spans="1:6" x14ac:dyDescent="0.25">
      <c r="A45" t="s">
        <v>30</v>
      </c>
      <c r="B45" s="14">
        <f>B18/B17*100</f>
        <v>74.824930391449456</v>
      </c>
      <c r="C45" s="14">
        <f>C18/C17*100</f>
        <v>84.857025844282774</v>
      </c>
      <c r="D45" s="14">
        <f>D18/D17*100</f>
        <v>79.536975854897761</v>
      </c>
      <c r="E45" s="14">
        <f>E18/E17*100</f>
        <v>58.929516701696294</v>
      </c>
      <c r="F45" s="14" t="e">
        <f>F18/F17*100</f>
        <v>#DIV/0!</v>
      </c>
    </row>
    <row r="46" spans="1:6" x14ac:dyDescent="0.25">
      <c r="A46" s="7" t="s">
        <v>31</v>
      </c>
      <c r="B46" s="14">
        <f>AVERAGE(B44:B45)</f>
        <v>76.750785770997282</v>
      </c>
      <c r="C46" s="14">
        <f>AVERAGE(C44:C45)</f>
        <v>85.045335352047928</v>
      </c>
      <c r="D46" s="14">
        <f>AVERAGE(D44:D45)</f>
        <v>80.588800427448888</v>
      </c>
      <c r="E46" s="14">
        <f>AVERAGE(E44:E45)</f>
        <v>58.929517227371733</v>
      </c>
      <c r="F46" s="14" t="e">
        <f>AVERAGE(F44:F45)</f>
        <v>#DIV/0!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32</v>
      </c>
      <c r="B48" s="7"/>
      <c r="C48" s="7"/>
      <c r="D48" s="7"/>
      <c r="E48" s="7"/>
      <c r="F48" s="7"/>
    </row>
    <row r="49" spans="1:7" x14ac:dyDescent="0.25">
      <c r="A49" s="7" t="s">
        <v>33</v>
      </c>
      <c r="B49" s="14">
        <f>(B12/(B13))*100</f>
        <v>78.676641150545109</v>
      </c>
      <c r="C49" s="14">
        <f t="shared" ref="C49:E49" si="7">(C12/(C13))*100</f>
        <v>85.233644859813083</v>
      </c>
      <c r="D49" s="14">
        <f t="shared" si="7"/>
        <v>81.640625</v>
      </c>
      <c r="E49" s="14">
        <f t="shared" si="7"/>
        <v>58.929517753047165</v>
      </c>
      <c r="F49" s="14" t="e">
        <f t="shared" ref="F49" si="8">(F12/(F13*2))*100</f>
        <v>#DIV/0!</v>
      </c>
    </row>
    <row r="50" spans="1:7" x14ac:dyDescent="0.25">
      <c r="A50" s="7" t="s">
        <v>34</v>
      </c>
      <c r="B50" s="14">
        <f>B18/B19*100</f>
        <v>37.412465144996752</v>
      </c>
      <c r="C50" s="14">
        <f>C18/C19*100</f>
        <v>42.492482837012162</v>
      </c>
      <c r="D50" s="14">
        <f>D18/D19*100</f>
        <v>39.404302391589795</v>
      </c>
      <c r="E50" s="14">
        <f>E18/E19*100</f>
        <v>29.464758242515671</v>
      </c>
      <c r="F50" s="14" t="e">
        <f>F18/F19*100</f>
        <v>#DIV/0!</v>
      </c>
    </row>
    <row r="51" spans="1:7" x14ac:dyDescent="0.25">
      <c r="A51" s="7" t="s">
        <v>35</v>
      </c>
      <c r="B51" s="14">
        <f>(B49+B50)/2</f>
        <v>58.044553147770927</v>
      </c>
      <c r="C51" s="14">
        <f>(C49+C50)/2</f>
        <v>63.863063848412622</v>
      </c>
      <c r="D51" s="14">
        <f>(D49+D50)/2</f>
        <v>60.522463695794897</v>
      </c>
      <c r="E51" s="14">
        <f>(E49+E50)/2</f>
        <v>44.197137997781418</v>
      </c>
      <c r="F51" s="14" t="e">
        <f>(F49+F50)/2</f>
        <v>#DIV/0!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36</v>
      </c>
      <c r="B53" s="7"/>
      <c r="C53" s="7"/>
      <c r="D53" s="7"/>
      <c r="E53" s="7"/>
      <c r="F53" s="7"/>
    </row>
    <row r="54" spans="1:7" x14ac:dyDescent="0.25">
      <c r="A54" s="7" t="s">
        <v>37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 t="e">
        <f>F20/F18*100</f>
        <v>#DIV/0!</v>
      </c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38</v>
      </c>
      <c r="B56" s="7"/>
      <c r="C56" s="7"/>
      <c r="D56" s="7"/>
      <c r="E56" s="7"/>
      <c r="F56" s="7"/>
    </row>
    <row r="57" spans="1:7" x14ac:dyDescent="0.25">
      <c r="A57" s="7" t="s">
        <v>39</v>
      </c>
      <c r="B57" s="14">
        <f>((B12/B10)-1)*100</f>
        <v>36.064587303179209</v>
      </c>
      <c r="C57" s="14">
        <f>((C12/C10)-1)*100</f>
        <v>4.8141999744604647</v>
      </c>
      <c r="D57" s="14">
        <f>((D12/D10)-1)*100</f>
        <v>46.495327102803749</v>
      </c>
      <c r="E57" s="14" t="e">
        <f>((E12/E10)-1)*100</f>
        <v>#DIV/0!</v>
      </c>
      <c r="F57" s="14" t="e">
        <f>((F12/F10)-1)*100</f>
        <v>#DIV/0!</v>
      </c>
    </row>
    <row r="58" spans="1:7" x14ac:dyDescent="0.25">
      <c r="A58" s="7" t="s">
        <v>40</v>
      </c>
      <c r="B58" s="14">
        <f>((B33/B32)-1)*100</f>
        <v>28.008415875063019</v>
      </c>
      <c r="C58" s="14">
        <f>((C33/C32)-1)*100</f>
        <v>-12.537274141295418</v>
      </c>
      <c r="D58" s="14">
        <f>((D33/D32)-1)*100</f>
        <v>21.446513675440304</v>
      </c>
      <c r="E58" s="14" t="e">
        <f>((E33/E32)-1)*100</f>
        <v>#DIV/0!</v>
      </c>
      <c r="F58" s="14" t="e">
        <f>((F33/F32)-1)*100</f>
        <v>#DIV/0!</v>
      </c>
      <c r="G58" s="14"/>
    </row>
    <row r="59" spans="1:7" x14ac:dyDescent="0.25">
      <c r="A59" s="7" t="s">
        <v>41</v>
      </c>
      <c r="B59" s="14">
        <f>((B35/B34)-1)*100</f>
        <v>-25.981679732645947</v>
      </c>
      <c r="C59" s="14">
        <f>((C35/C34)-1)*100</f>
        <v>-28.876364880631822</v>
      </c>
      <c r="D59" s="14">
        <f>((D35/D34)-1)*100</f>
        <v>-32.318869982957743</v>
      </c>
      <c r="E59" s="14" t="e">
        <f>((E35/E34)-1)*100</f>
        <v>#DIV/0!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42</v>
      </c>
      <c r="B61" s="7"/>
      <c r="C61" s="7"/>
      <c r="D61" s="7"/>
      <c r="E61" s="7"/>
      <c r="F61" s="7"/>
    </row>
    <row r="62" spans="1:7" x14ac:dyDescent="0.25">
      <c r="A62" s="7" t="s">
        <v>129</v>
      </c>
      <c r="B62" s="5">
        <f>B17/(B11*6)</f>
        <v>66925.178232150312</v>
      </c>
      <c r="C62" s="5">
        <f t="shared" ref="C62:F62" si="9">C17/(C11*6)</f>
        <v>65048.905881619939</v>
      </c>
      <c r="D62" s="5">
        <f t="shared" si="9"/>
        <v>26571.720406249999</v>
      </c>
      <c r="E62" s="5">
        <f t="shared" si="9"/>
        <v>112771.96699395866</v>
      </c>
      <c r="F62" s="5" t="e">
        <f t="shared" si="9"/>
        <v>#DIV/0!</v>
      </c>
    </row>
    <row r="63" spans="1:7" x14ac:dyDescent="0.25">
      <c r="A63" s="7" t="s">
        <v>130</v>
      </c>
      <c r="B63" s="5">
        <f>B18/(B12*6)</f>
        <v>63648.774648043043</v>
      </c>
      <c r="C63" s="5">
        <f t="shared" ref="C63:F63" si="10">C18/(C12*6)</f>
        <v>64761.476487573098</v>
      </c>
      <c r="D63" s="5">
        <f t="shared" si="10"/>
        <v>25887.041952153115</v>
      </c>
      <c r="E63" s="5">
        <f t="shared" si="10"/>
        <v>112771.9649820144</v>
      </c>
      <c r="F63" s="5" t="e">
        <f t="shared" si="10"/>
        <v>#DIV/0!</v>
      </c>
    </row>
    <row r="64" spans="1:7" x14ac:dyDescent="0.25">
      <c r="A64" s="7" t="s">
        <v>43</v>
      </c>
      <c r="B64" s="14">
        <f>(B62/B63)*B46</f>
        <v>80.701632444380593</v>
      </c>
      <c r="C64" s="14">
        <f>(C62/C63)*C46</f>
        <v>85.422790137400767</v>
      </c>
      <c r="D64" s="14">
        <f>(D62/D63)*D46</f>
        <v>82.720268958931626</v>
      </c>
      <c r="E64" s="14">
        <f>E62/E63*E46</f>
        <v>58.929518278722611</v>
      </c>
      <c r="F64" s="14" t="e">
        <f>(F62/F63)*F46</f>
        <v>#DIV/0!</v>
      </c>
    </row>
    <row r="65" spans="1:7" x14ac:dyDescent="0.25">
      <c r="A65" s="7" t="s">
        <v>133</v>
      </c>
      <c r="B65" s="5">
        <f>B17/B11</f>
        <v>401551.06939290185</v>
      </c>
      <c r="C65" s="5">
        <f t="shared" ref="C65:F65" si="11">C17/C11</f>
        <v>390293.43528971961</v>
      </c>
      <c r="D65" s="5">
        <f t="shared" si="11"/>
        <v>159430.3224375</v>
      </c>
      <c r="E65" s="5">
        <f t="shared" si="11"/>
        <v>676631.8019637519</v>
      </c>
      <c r="F65" s="5" t="e">
        <f t="shared" si="11"/>
        <v>#DIV/0!</v>
      </c>
    </row>
    <row r="66" spans="1:7" x14ac:dyDescent="0.25">
      <c r="A66" s="7" t="s">
        <v>134</v>
      </c>
      <c r="B66" s="5">
        <f>B18/B12</f>
        <v>381892.64788825827</v>
      </c>
      <c r="C66" s="5">
        <f t="shared" ref="C66:F66" si="12">C18/C12</f>
        <v>388568.8589254386</v>
      </c>
      <c r="D66" s="5">
        <f t="shared" si="12"/>
        <v>155322.25171291869</v>
      </c>
      <c r="E66" s="5">
        <f t="shared" si="12"/>
        <v>676631.78989208629</v>
      </c>
      <c r="F66" s="5" t="e">
        <f t="shared" si="12"/>
        <v>#DIV/0!</v>
      </c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44</v>
      </c>
      <c r="B68" s="14"/>
      <c r="C68" s="14"/>
      <c r="D68" s="14"/>
      <c r="E68" s="14"/>
      <c r="F68" s="14"/>
    </row>
    <row r="69" spans="1:7" x14ac:dyDescent="0.25">
      <c r="A69" s="7" t="s">
        <v>45</v>
      </c>
      <c r="B69" s="14">
        <f>(B24/B23)*100</f>
        <v>78.641412215309643</v>
      </c>
      <c r="C69" s="14"/>
      <c r="D69" s="14"/>
      <c r="E69" s="14"/>
      <c r="F69" s="14"/>
      <c r="G69" s="11"/>
    </row>
    <row r="70" spans="1:7" x14ac:dyDescent="0.25">
      <c r="A70" s="7" t="s">
        <v>46</v>
      </c>
      <c r="B70" s="14">
        <f>(B18/B24)*100</f>
        <v>95.146982084437695</v>
      </c>
      <c r="C70" s="14"/>
      <c r="D70" s="14"/>
      <c r="E70" s="14"/>
      <c r="F70" s="14"/>
      <c r="G70" s="11"/>
    </row>
    <row r="71" spans="1:7" ht="15.75" thickBot="1" x14ac:dyDescent="0.3">
      <c r="A71" s="21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59</v>
      </c>
    </row>
    <row r="74" spans="1:7" x14ac:dyDescent="0.25">
      <c r="A74" t="s">
        <v>60</v>
      </c>
    </row>
    <row r="75" spans="1:7" x14ac:dyDescent="0.25">
      <c r="A75" t="s">
        <v>61</v>
      </c>
      <c r="B75" s="16"/>
      <c r="C75" s="16"/>
      <c r="D75" s="16"/>
    </row>
    <row r="76" spans="1:7" x14ac:dyDescent="0.25">
      <c r="A76" t="s">
        <v>82</v>
      </c>
    </row>
    <row r="77" spans="1:7" x14ac:dyDescent="0.25">
      <c r="A77" t="s">
        <v>83</v>
      </c>
    </row>
    <row r="79" spans="1:7" x14ac:dyDescent="0.25">
      <c r="A79" t="s">
        <v>114</v>
      </c>
    </row>
    <row r="80" spans="1:7" x14ac:dyDescent="0.25">
      <c r="A80" t="s">
        <v>115</v>
      </c>
    </row>
    <row r="81" spans="1:1" x14ac:dyDescent="0.25">
      <c r="A81" t="s">
        <v>116</v>
      </c>
    </row>
    <row r="82" spans="1:1" x14ac:dyDescent="0.25">
      <c r="A82" t="s">
        <v>117</v>
      </c>
    </row>
    <row r="83" spans="1:1" x14ac:dyDescent="0.25">
      <c r="A83" t="s">
        <v>128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B87" activePane="bottomRight" state="frozen"/>
      <selection pane="topRight" activeCell="B1" sqref="B1"/>
      <selection pane="bottomLeft" activeCell="A6" sqref="A6"/>
      <selection pane="bottomRight" activeCell="B49" sqref="B49:E49"/>
    </sheetView>
  </sheetViews>
  <sheetFormatPr baseColWidth="10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43" t="s">
        <v>127</v>
      </c>
      <c r="B2" s="43"/>
      <c r="C2" s="43"/>
      <c r="D2" s="43"/>
      <c r="E2" s="43"/>
    </row>
    <row r="4" spans="1:7" x14ac:dyDescent="0.25">
      <c r="A4" s="44" t="s">
        <v>0</v>
      </c>
      <c r="B4" s="18" t="s">
        <v>47</v>
      </c>
      <c r="C4" s="48" t="s">
        <v>2</v>
      </c>
      <c r="D4" s="48"/>
      <c r="E4" s="48"/>
      <c r="F4" s="48"/>
    </row>
    <row r="5" spans="1:7" ht="15.75" thickBot="1" x14ac:dyDescent="0.3">
      <c r="A5" s="45"/>
      <c r="B5" s="1" t="s">
        <v>48</v>
      </c>
      <c r="C5" s="1" t="s">
        <v>3</v>
      </c>
      <c r="D5" s="1" t="s">
        <v>4</v>
      </c>
      <c r="E5" s="1" t="s">
        <v>5</v>
      </c>
      <c r="F5" s="1" t="s">
        <v>6</v>
      </c>
    </row>
    <row r="6" spans="1:7" ht="15.75" thickTop="1" x14ac:dyDescent="0.25"/>
    <row r="7" spans="1:7" x14ac:dyDescent="0.25">
      <c r="A7" s="2" t="s">
        <v>7</v>
      </c>
    </row>
    <row r="9" spans="1:7" x14ac:dyDescent="0.25">
      <c r="A9" t="s">
        <v>118</v>
      </c>
    </row>
    <row r="10" spans="1:7" x14ac:dyDescent="0.25">
      <c r="A10" s="4" t="s">
        <v>104</v>
      </c>
      <c r="B10" s="5">
        <f t="shared" ref="B10" si="0">SUM(C10:E10)</f>
        <v>1666.5555555555554</v>
      </c>
      <c r="C10" s="5">
        <f>('I Trimestre'!C10+'II Trimestre'!C10+'III Trimestre'!C10)/3</f>
        <v>1308.3333333333333</v>
      </c>
      <c r="D10" s="5">
        <f>('I Trimestre'!D10+'II Trimestre'!D10+'III Trimestre'!D10)/3</f>
        <v>358.22222222222217</v>
      </c>
      <c r="E10" s="5">
        <f>('I Trimestre'!E10+'II Trimestre'!E10+'III Trimestre'!E10)/3</f>
        <v>0</v>
      </c>
      <c r="F10" s="5">
        <f>('I Trimestre'!F10+'II Trimestre'!F10+'III Trimestre'!F10)/3</f>
        <v>0</v>
      </c>
      <c r="G10" s="3"/>
    </row>
    <row r="11" spans="1:7" x14ac:dyDescent="0.25">
      <c r="A11" s="6" t="s">
        <v>105</v>
      </c>
      <c r="B11" s="5">
        <f>SUM(C11:E11)</f>
        <v>3004.1111111111113</v>
      </c>
      <c r="C11" s="5">
        <f>('I Trimestre'!C11+'II Trimestre'!C11+'III Trimestre'!C11)/3</f>
        <v>1605</v>
      </c>
      <c r="D11" s="5">
        <f>('I Trimestre'!D11+'II Trimestre'!D11+'III Trimestre'!D11)/3</f>
        <v>640</v>
      </c>
      <c r="E11" s="5">
        <f>('I Trimestre'!E11+'II Trimestre'!E11+'III Trimestre'!E11)/3</f>
        <v>759.1111111111112</v>
      </c>
      <c r="F11" s="5">
        <f>('I Trimestre'!F11+'II Trimestre'!F11+'III Trimestre'!F11)/3</f>
        <v>0</v>
      </c>
      <c r="G11" s="19"/>
    </row>
    <row r="12" spans="1:7" x14ac:dyDescent="0.25">
      <c r="A12" s="6" t="s">
        <v>106</v>
      </c>
      <c r="B12" s="3">
        <f>SUM(C12:E12)</f>
        <v>2406</v>
      </c>
      <c r="C12" s="5">
        <f>('I Trimestre'!C12+'II Trimestre'!C12+'III Trimestre'!C12)/3</f>
        <v>1418.3333333333333</v>
      </c>
      <c r="D12" s="5">
        <f>('I Trimestre'!D12+'II Trimestre'!D12+'III Trimestre'!D12)/3</f>
        <v>533.66666666666663</v>
      </c>
      <c r="E12" s="5">
        <f>('I Trimestre'!E12+'II Trimestre'!E12+'III Trimestre'!E12)/3</f>
        <v>454</v>
      </c>
      <c r="F12" s="5">
        <f>('I Trimestre'!F12+'II Trimestre'!F12+'III Trimestre'!F12)/3</f>
        <v>0</v>
      </c>
    </row>
    <row r="13" spans="1:7" x14ac:dyDescent="0.25">
      <c r="A13" s="6" t="s">
        <v>11</v>
      </c>
      <c r="B13" s="5">
        <f>SUM(C13:E13)</f>
        <v>4045</v>
      </c>
      <c r="C13" s="5">
        <f>'III Trimestre'!C13</f>
        <v>1605</v>
      </c>
      <c r="D13" s="5">
        <f>'III Trimestre'!D13</f>
        <v>640</v>
      </c>
      <c r="E13" s="5">
        <f>'III Trimestre'!E13</f>
        <v>1800</v>
      </c>
      <c r="F13" s="5">
        <f>'III Trimestre'!F13</f>
        <v>4</v>
      </c>
      <c r="G13" s="19"/>
    </row>
    <row r="14" spans="1:7" x14ac:dyDescent="0.25">
      <c r="F14" s="7"/>
      <c r="G14" s="19"/>
    </row>
    <row r="15" spans="1:7" x14ac:dyDescent="0.25">
      <c r="A15" s="8" t="s">
        <v>12</v>
      </c>
      <c r="F15" s="7"/>
      <c r="G15" s="20"/>
    </row>
    <row r="16" spans="1:7" x14ac:dyDescent="0.25">
      <c r="A16" s="4" t="s">
        <v>104</v>
      </c>
      <c r="B16" s="5">
        <f t="shared" ref="B16" si="1">SUM(C16:E16)</f>
        <v>967584235.36000001</v>
      </c>
      <c r="C16" s="5">
        <f>'I Trimestre'!C16+'II Trimestre'!C16+'III Trimestre'!C16</f>
        <v>872175072.25999999</v>
      </c>
      <c r="D16" s="5">
        <f>'I Trimestre'!D16+'II Trimestre'!D16+'III Trimestre'!D16</f>
        <v>95409163.099999994</v>
      </c>
      <c r="E16" s="5">
        <f>'I Trimestre'!E16+'II Trimestre'!E16+'III Trimestre'!E16</f>
        <v>0</v>
      </c>
      <c r="F16" s="5">
        <f>'I Trimestre'!F16+'II Trimestre'!F16+'III Trimestre'!F16</f>
        <v>0</v>
      </c>
    </row>
    <row r="17" spans="1:7" x14ac:dyDescent="0.25">
      <c r="A17" s="6" t="s">
        <v>105</v>
      </c>
      <c r="B17" s="5">
        <f>SUM(C17:F17)</f>
        <v>2541153093.4351997</v>
      </c>
      <c r="C17" s="5">
        <f>'I Trimestre'!C17+'II Trimestre'!C17+'III Trimestre'!C17</f>
        <v>940546748.63999999</v>
      </c>
      <c r="D17" s="5">
        <f>'I Trimestre'!D17+'II Trimestre'!D17+'III Trimestre'!D17</f>
        <v>152137806.36000001</v>
      </c>
      <c r="E17" s="5">
        <f>'I Trimestre'!E17+'II Trimestre'!E17+'III Trimestre'!E17</f>
        <v>948468538.43519998</v>
      </c>
      <c r="F17" s="5">
        <f>'I Trimestre'!F17+'II Trimestre'!F17+'III Trimestre'!F17</f>
        <v>500000000</v>
      </c>
      <c r="G17" s="19"/>
    </row>
    <row r="18" spans="1:7" x14ac:dyDescent="0.25">
      <c r="A18" s="6" t="s">
        <v>106</v>
      </c>
      <c r="B18" s="3">
        <f>SUM(C18:E18)</f>
        <v>1411482039.98</v>
      </c>
      <c r="C18" s="5">
        <f>'I Trimestre'!C18+'II Trimestre'!C18+'III Trimestre'!C18</f>
        <v>826863025.00999999</v>
      </c>
      <c r="D18" s="5">
        <f>'I Trimestre'!D18+'II Trimestre'!D18+'III Trimestre'!D18</f>
        <v>123832761.86000001</v>
      </c>
      <c r="E18" s="5">
        <f>'I Trimestre'!E18+'II Trimestre'!E18+'III Trimestre'!E18</f>
        <v>460786253.11000001</v>
      </c>
      <c r="F18" s="5">
        <f>'I Trimestre'!F18+'II Trimestre'!F18+'III Trimestre'!F18</f>
        <v>0</v>
      </c>
    </row>
    <row r="19" spans="1:7" x14ac:dyDescent="0.25">
      <c r="A19" s="6" t="s">
        <v>11</v>
      </c>
      <c r="B19" s="5">
        <f>'III Trimestre'!B19</f>
        <v>4524381280</v>
      </c>
      <c r="C19" s="5">
        <f>'III Trimestre'!C19</f>
        <v>1248998723</v>
      </c>
      <c r="D19" s="5">
        <f>'III Trimestre'!D19</f>
        <v>207914017</v>
      </c>
      <c r="E19" s="5">
        <f>'III Trimestre'!E19</f>
        <v>2067468540</v>
      </c>
      <c r="F19" s="5">
        <f>'III Trimestre'!F19</f>
        <v>1000000000</v>
      </c>
    </row>
    <row r="20" spans="1:7" x14ac:dyDescent="0.25">
      <c r="A20" s="6" t="s">
        <v>107</v>
      </c>
      <c r="B20" s="5">
        <f>SUM(C20:E20)</f>
        <v>1411482039.98</v>
      </c>
      <c r="C20" s="5">
        <f>C18</f>
        <v>826863025.00999999</v>
      </c>
      <c r="D20" s="5">
        <f t="shared" ref="D20:E20" si="2">D18</f>
        <v>123832761.86000001</v>
      </c>
      <c r="E20" s="5">
        <f t="shared" si="2"/>
        <v>460786253.11000001</v>
      </c>
      <c r="F20" s="5"/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14</v>
      </c>
      <c r="B22" s="5"/>
      <c r="C22" s="5"/>
      <c r="D22" s="5"/>
      <c r="E22" s="5"/>
      <c r="F22" s="5"/>
    </row>
    <row r="23" spans="1:7" x14ac:dyDescent="0.25">
      <c r="A23" s="4" t="s">
        <v>105</v>
      </c>
      <c r="B23" s="5">
        <f>B17</f>
        <v>2541153093.4351997</v>
      </c>
      <c r="C23" s="5">
        <f t="shared" ref="C23:E23" si="3">C17</f>
        <v>940546748.63999999</v>
      </c>
      <c r="D23" s="5">
        <f t="shared" si="3"/>
        <v>152137806.36000001</v>
      </c>
      <c r="E23" s="5">
        <f t="shared" si="3"/>
        <v>948468538.43519998</v>
      </c>
      <c r="F23" s="5">
        <v>0</v>
      </c>
      <c r="G23" s="11"/>
    </row>
    <row r="24" spans="1:7" x14ac:dyDescent="0.25">
      <c r="A24" s="4" t="s">
        <v>106</v>
      </c>
      <c r="B24" s="5">
        <f>'I Trimestre'!B24+'II Trimestre'!B24+'III Trimestre'!B24</f>
        <v>1635934882.4200001</v>
      </c>
      <c r="C24" s="49"/>
      <c r="D24" s="49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15</v>
      </c>
      <c r="B26" s="7"/>
      <c r="C26" s="7"/>
      <c r="D26" s="7"/>
      <c r="E26" s="7"/>
      <c r="F26" s="7"/>
    </row>
    <row r="27" spans="1:7" x14ac:dyDescent="0.25">
      <c r="A27" s="4" t="s">
        <v>108</v>
      </c>
      <c r="B27" s="17">
        <v>1.3931300646666669</v>
      </c>
      <c r="C27" s="17">
        <v>1.3931300646666669</v>
      </c>
      <c r="D27" s="17">
        <v>1.3931300646666669</v>
      </c>
      <c r="E27" s="17">
        <v>1.3931300646666669</v>
      </c>
      <c r="F27" s="17">
        <v>1.39313006466667</v>
      </c>
    </row>
    <row r="28" spans="1:7" x14ac:dyDescent="0.25">
      <c r="A28" s="4" t="s">
        <v>109</v>
      </c>
      <c r="B28" s="17">
        <v>1.4617491794222224</v>
      </c>
      <c r="C28" s="17">
        <v>1.4617491794222224</v>
      </c>
      <c r="D28" s="17">
        <v>1.4617491794222224</v>
      </c>
      <c r="E28" s="17">
        <v>1.4617491794222224</v>
      </c>
      <c r="F28" s="17">
        <v>1.4617491794222199</v>
      </c>
    </row>
    <row r="29" spans="1:7" x14ac:dyDescent="0.25">
      <c r="A29" s="4" t="s">
        <v>18</v>
      </c>
      <c r="B29" s="5">
        <v>22909</v>
      </c>
      <c r="C29" s="5">
        <v>22909</v>
      </c>
      <c r="D29" s="5">
        <v>22909</v>
      </c>
      <c r="E29" s="5">
        <v>22909</v>
      </c>
      <c r="F29" s="5">
        <v>22909</v>
      </c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19</v>
      </c>
      <c r="B31" s="7"/>
      <c r="C31" s="7"/>
      <c r="D31" s="7"/>
      <c r="E31" s="7"/>
      <c r="F31" s="7"/>
    </row>
    <row r="32" spans="1:7" x14ac:dyDescent="0.25">
      <c r="A32" s="7" t="s">
        <v>110</v>
      </c>
      <c r="B32" s="5">
        <f>B16/B27</f>
        <v>694539770.47829568</v>
      </c>
      <c r="C32" s="5">
        <f>C16/C27</f>
        <v>626054303.457075</v>
      </c>
      <c r="D32" s="5">
        <f>D16/D27</f>
        <v>68485467.021220639</v>
      </c>
      <c r="E32" s="5">
        <f>E16/E27</f>
        <v>0</v>
      </c>
      <c r="F32" s="5">
        <f>F16/F27</f>
        <v>0</v>
      </c>
    </row>
    <row r="33" spans="1:6" x14ac:dyDescent="0.25">
      <c r="A33" s="7" t="s">
        <v>111</v>
      </c>
      <c r="B33" s="5">
        <f>B18/B28</f>
        <v>965611652.01947224</v>
      </c>
      <c r="C33" s="5">
        <f>C18/C28</f>
        <v>565666830.29494131</v>
      </c>
      <c r="D33" s="5">
        <f>D18/D28</f>
        <v>84715465.281770647</v>
      </c>
      <c r="E33" s="5">
        <f>E18/E28</f>
        <v>315229356.44276023</v>
      </c>
      <c r="F33" s="5">
        <f>F18/F28</f>
        <v>0</v>
      </c>
    </row>
    <row r="34" spans="1:6" x14ac:dyDescent="0.25">
      <c r="A34" s="7" t="s">
        <v>112</v>
      </c>
      <c r="B34" s="5">
        <f>B32/(B10*9)</f>
        <v>46305.738414447347</v>
      </c>
      <c r="C34" s="5">
        <f t="shared" ref="C34:F34" si="4">C32/(C10*9)</f>
        <v>53168.0937118535</v>
      </c>
      <c r="D34" s="5">
        <f t="shared" si="4"/>
        <v>21242.39051526695</v>
      </c>
      <c r="E34" s="5" t="e">
        <f t="shared" si="4"/>
        <v>#DIV/0!</v>
      </c>
      <c r="F34" s="5" t="e">
        <f t="shared" si="4"/>
        <v>#DIV/0!</v>
      </c>
    </row>
    <row r="35" spans="1:6" x14ac:dyDescent="0.25">
      <c r="A35" s="7" t="s">
        <v>113</v>
      </c>
      <c r="B35" s="5">
        <f>B33/(B12*9)</f>
        <v>44592.761245934802</v>
      </c>
      <c r="C35" s="5">
        <f t="shared" ref="C35:F35" si="5">C33/(C12*9)</f>
        <v>44313.891914997359</v>
      </c>
      <c r="D35" s="5">
        <f t="shared" si="5"/>
        <v>17638.031497349708</v>
      </c>
      <c r="E35" s="5">
        <f t="shared" si="5"/>
        <v>77148.643280166478</v>
      </c>
      <c r="F35" s="5" t="e">
        <f t="shared" si="5"/>
        <v>#DIV/0!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24</v>
      </c>
      <c r="F37" s="7"/>
    </row>
    <row r="38" spans="1:6" x14ac:dyDescent="0.25">
      <c r="F38" s="7"/>
    </row>
    <row r="39" spans="1:6" x14ac:dyDescent="0.25">
      <c r="A39" t="s">
        <v>25</v>
      </c>
      <c r="F39" s="7"/>
    </row>
    <row r="40" spans="1:6" x14ac:dyDescent="0.25">
      <c r="A40" t="s">
        <v>26</v>
      </c>
      <c r="B40" s="14">
        <f>B11/B29*100</f>
        <v>13.113235458165398</v>
      </c>
      <c r="C40" s="14">
        <f>C11/C29*100</f>
        <v>7.005980182461041</v>
      </c>
      <c r="D40" s="14">
        <f>D11/D29*100</f>
        <v>2.7936618796106334</v>
      </c>
      <c r="E40" s="14">
        <f>E11/E29*100</f>
        <v>3.3135933960937241</v>
      </c>
      <c r="F40" s="14">
        <f>F11/F29*100</f>
        <v>0</v>
      </c>
    </row>
    <row r="41" spans="1:6" x14ac:dyDescent="0.25">
      <c r="A41" t="s">
        <v>27</v>
      </c>
      <c r="B41" s="14">
        <f>B12/B29*100</f>
        <v>10.502422628661225</v>
      </c>
      <c r="C41" s="14">
        <f>C12/C29*100</f>
        <v>6.1911621342412726</v>
      </c>
      <c r="D41" s="14">
        <f>D12/D29*100</f>
        <v>2.3295065985711583</v>
      </c>
      <c r="E41" s="14">
        <f>E12/E29*100</f>
        <v>1.981753895848793</v>
      </c>
      <c r="F41" s="14">
        <f>F12/F29*100</f>
        <v>0</v>
      </c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28</v>
      </c>
      <c r="B43" s="7"/>
      <c r="C43" s="7"/>
      <c r="D43" s="7"/>
      <c r="E43" s="7"/>
      <c r="F43" s="7"/>
    </row>
    <row r="44" spans="1:6" x14ac:dyDescent="0.25">
      <c r="A44" t="s">
        <v>29</v>
      </c>
      <c r="B44" s="14">
        <f>B12/B11*100</f>
        <v>80.090246698968073</v>
      </c>
      <c r="C44" s="14">
        <f>C12/C11*100</f>
        <v>88.369678089304244</v>
      </c>
      <c r="D44" s="14">
        <f>D12/D11*100</f>
        <v>83.385416666666657</v>
      </c>
      <c r="E44" s="14">
        <f>E12/E11*100</f>
        <v>59.806791569086649</v>
      </c>
      <c r="F44" s="14" t="e">
        <f>F12/F11*100</f>
        <v>#DIV/0!</v>
      </c>
    </row>
    <row r="45" spans="1:6" x14ac:dyDescent="0.25">
      <c r="A45" t="s">
        <v>30</v>
      </c>
      <c r="B45" s="14">
        <f>B18/B17*100</f>
        <v>55.544943105805579</v>
      </c>
      <c r="C45" s="14">
        <f>C18/C17*100</f>
        <v>87.91301721106548</v>
      </c>
      <c r="D45" s="14">
        <f>D18/D17*100</f>
        <v>81.395127761325497</v>
      </c>
      <c r="E45" s="14">
        <f>E18/E17*100</f>
        <v>48.582133664677293</v>
      </c>
      <c r="F45" s="14">
        <f>F18/F17*100</f>
        <v>0</v>
      </c>
    </row>
    <row r="46" spans="1:6" x14ac:dyDescent="0.25">
      <c r="A46" s="7" t="s">
        <v>31</v>
      </c>
      <c r="B46" s="14">
        <f>AVERAGE(B44:B45)</f>
        <v>67.81759490238683</v>
      </c>
      <c r="C46" s="14">
        <f>AVERAGE(C44:C45)</f>
        <v>88.141347650184855</v>
      </c>
      <c r="D46" s="14">
        <f>AVERAGE(D44:D45)</f>
        <v>82.39027221399607</v>
      </c>
      <c r="E46" s="14">
        <f>AVERAGE(E44:E45)</f>
        <v>54.194462616881971</v>
      </c>
      <c r="F46" s="14" t="e">
        <f>AVERAGE(F44:F45)</f>
        <v>#DIV/0!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32</v>
      </c>
      <c r="B48" s="7"/>
      <c r="C48" s="7"/>
      <c r="D48" s="7"/>
      <c r="E48" s="7"/>
      <c r="F48" s="7"/>
    </row>
    <row r="49" spans="1:7" x14ac:dyDescent="0.25">
      <c r="A49" s="7" t="s">
        <v>33</v>
      </c>
      <c r="B49" s="14">
        <f>(B12/(B13))*100</f>
        <v>59.480840543881328</v>
      </c>
      <c r="C49" s="14">
        <f t="shared" ref="C49:E49" si="6">(C12/(C13))*100</f>
        <v>88.369678089304244</v>
      </c>
      <c r="D49" s="14">
        <f t="shared" si="6"/>
        <v>83.385416666666657</v>
      </c>
      <c r="E49" s="14">
        <f t="shared" si="6"/>
        <v>25.222222222222225</v>
      </c>
      <c r="F49" s="14">
        <f t="shared" ref="F49" si="7">(F12/(F13*4/3))*100</f>
        <v>0</v>
      </c>
    </row>
    <row r="50" spans="1:7" x14ac:dyDescent="0.25">
      <c r="A50" s="7" t="s">
        <v>34</v>
      </c>
      <c r="B50" s="14">
        <f>B18/B19*100</f>
        <v>31.197238973192814</v>
      </c>
      <c r="C50" s="14">
        <f>C18/C19*100</f>
        <v>66.202071289867931</v>
      </c>
      <c r="D50" s="14">
        <f>D18/D19*100</f>
        <v>59.559602400448078</v>
      </c>
      <c r="E50" s="14">
        <f>E18/E19*100</f>
        <v>22.287461414527741</v>
      </c>
      <c r="F50" s="14">
        <f>F18/F19*100</f>
        <v>0</v>
      </c>
    </row>
    <row r="51" spans="1:7" x14ac:dyDescent="0.25">
      <c r="A51" s="7" t="s">
        <v>35</v>
      </c>
      <c r="B51" s="14">
        <f>(B49+B50)/2</f>
        <v>45.339039758537069</v>
      </c>
      <c r="C51" s="14">
        <f>(C49+C50)/2</f>
        <v>77.28587468958608</v>
      </c>
      <c r="D51" s="14">
        <f>(D49+D50)/2</f>
        <v>71.472509533557371</v>
      </c>
      <c r="E51" s="14">
        <f>(E49+E50)/2</f>
        <v>23.754841818374985</v>
      </c>
      <c r="F51" s="14">
        <f>(F49+F50)/2</f>
        <v>0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36</v>
      </c>
      <c r="B53" s="7"/>
      <c r="C53" s="7"/>
      <c r="D53" s="7"/>
      <c r="E53" s="7"/>
      <c r="F53" s="7"/>
    </row>
    <row r="54" spans="1:7" x14ac:dyDescent="0.25">
      <c r="A54" s="7" t="s">
        <v>37</v>
      </c>
      <c r="B54" s="14">
        <f>B20/B18*100</f>
        <v>100</v>
      </c>
      <c r="C54" s="14">
        <f>C20/C18*100</f>
        <v>100</v>
      </c>
      <c r="D54" s="14">
        <f>D20/D18*100</f>
        <v>100</v>
      </c>
      <c r="E54" s="14">
        <f>E20/E18*100</f>
        <v>100</v>
      </c>
      <c r="F54" s="14" t="e">
        <f>F20/F18*100</f>
        <v>#DIV/0!</v>
      </c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38</v>
      </c>
      <c r="B56" s="7"/>
      <c r="C56" s="7"/>
      <c r="D56" s="7"/>
      <c r="E56" s="7"/>
      <c r="F56" s="7"/>
    </row>
    <row r="57" spans="1:7" x14ac:dyDescent="0.25">
      <c r="A57" s="7" t="s">
        <v>39</v>
      </c>
      <c r="B57" s="14">
        <f>((B12/B10)-1)*100</f>
        <v>44.36962464164278</v>
      </c>
      <c r="C57" s="14">
        <f>((C12/C10)-1)*100</f>
        <v>8.407643312101909</v>
      </c>
      <c r="D57" s="14">
        <f>((D12/D10)-1)*100</f>
        <v>48.976426799007442</v>
      </c>
      <c r="E57" s="14" t="e">
        <f>((E12/E10)-1)*100</f>
        <v>#DIV/0!</v>
      </c>
      <c r="F57" s="14" t="e">
        <f>((F12/F10)-1)*100</f>
        <v>#DIV/0!</v>
      </c>
    </row>
    <row r="58" spans="1:7" x14ac:dyDescent="0.25">
      <c r="A58" s="7" t="s">
        <v>40</v>
      </c>
      <c r="B58" s="14">
        <f>((B33/B32)-1)*100</f>
        <v>39.028993451952012</v>
      </c>
      <c r="C58" s="14">
        <f>((C33/C32)-1)*100</f>
        <v>-9.6457244728889719</v>
      </c>
      <c r="D58" s="14">
        <f>((D33/D32)-1)*100</f>
        <v>23.698455988510723</v>
      </c>
      <c r="E58" s="14" t="e">
        <f>((E33/E32)-1)*100</f>
        <v>#DIV/0!</v>
      </c>
      <c r="F58" s="14" t="e">
        <f>((F33/F32)-1)*100</f>
        <v>#DIV/0!</v>
      </c>
      <c r="G58" s="14"/>
    </row>
    <row r="59" spans="1:7" x14ac:dyDescent="0.25">
      <c r="A59" s="7" t="s">
        <v>41</v>
      </c>
      <c r="B59" s="14">
        <f>((B35/B34)-1)*100</f>
        <v>-3.6992762175197202</v>
      </c>
      <c r="C59" s="14">
        <f>((C35/C34)-1)*100</f>
        <v>-16.65322410248865</v>
      </c>
      <c r="D59" s="14">
        <f>((D35/D34)-1)*100</f>
        <v>-16.967765540920553</v>
      </c>
      <c r="E59" s="14" t="e">
        <f>((E35/E34)-1)*100</f>
        <v>#DIV/0!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42</v>
      </c>
      <c r="B61" s="7"/>
      <c r="C61" s="7"/>
      <c r="D61" s="7"/>
      <c r="E61" s="7"/>
      <c r="F61" s="7"/>
    </row>
    <row r="62" spans="1:7" x14ac:dyDescent="0.25">
      <c r="A62" s="7" t="s">
        <v>129</v>
      </c>
      <c r="B62" s="5">
        <f>B17/(B11*9)</f>
        <v>93987.982891415464</v>
      </c>
      <c r="C62" s="5">
        <f t="shared" ref="C62:F62" si="8">C17/(C11*9)</f>
        <v>65112.270587746621</v>
      </c>
      <c r="D62" s="5">
        <f t="shared" si="8"/>
        <v>26412.813604166669</v>
      </c>
      <c r="E62" s="5">
        <f t="shared" si="8"/>
        <v>138827.36218313815</v>
      </c>
      <c r="F62" s="5" t="e">
        <f t="shared" si="8"/>
        <v>#DIV/0!</v>
      </c>
    </row>
    <row r="63" spans="1:7" x14ac:dyDescent="0.25">
      <c r="A63" s="7" t="s">
        <v>130</v>
      </c>
      <c r="B63" s="5">
        <f>B18/(B12*9)</f>
        <v>65183.432159416276</v>
      </c>
      <c r="C63" s="5">
        <f t="shared" ref="C63:F63" si="9">C18/(C12*9)</f>
        <v>64775.795143752446</v>
      </c>
      <c r="D63" s="5">
        <f t="shared" si="9"/>
        <v>25782.378067874248</v>
      </c>
      <c r="E63" s="5">
        <f t="shared" si="9"/>
        <v>112771.96600832111</v>
      </c>
      <c r="F63" s="5" t="e">
        <f t="shared" si="9"/>
        <v>#DIV/0!</v>
      </c>
    </row>
    <row r="64" spans="1:7" x14ac:dyDescent="0.25">
      <c r="A64" s="7" t="s">
        <v>43</v>
      </c>
      <c r="B64" s="14">
        <f>(B62/B63)*B46</f>
        <v>97.786181829667527</v>
      </c>
      <c r="C64" s="14">
        <f>(C62/C63)*C46</f>
        <v>88.599194582345618</v>
      </c>
      <c r="D64" s="14">
        <f>(D62/D63)*D46</f>
        <v>84.404894577835762</v>
      </c>
      <c r="E64" s="14">
        <f>E62/E63*E46</f>
        <v>66.7158209291063</v>
      </c>
      <c r="F64" s="14" t="e">
        <f>(F62/F63)*F46</f>
        <v>#DIV/0!</v>
      </c>
    </row>
    <row r="65" spans="1:7" x14ac:dyDescent="0.25">
      <c r="A65" s="7" t="s">
        <v>135</v>
      </c>
      <c r="B65" s="5">
        <f>B17/B11</f>
        <v>845891.84602273908</v>
      </c>
      <c r="C65" s="5">
        <f t="shared" ref="C65:F65" si="10">C17/C11</f>
        <v>586010.43528971961</v>
      </c>
      <c r="D65" s="5">
        <f t="shared" si="10"/>
        <v>237715.32243750003</v>
      </c>
      <c r="E65" s="5">
        <f t="shared" si="10"/>
        <v>1249446.2596482434</v>
      </c>
      <c r="F65" s="5" t="e">
        <f t="shared" si="10"/>
        <v>#DIV/0!</v>
      </c>
    </row>
    <row r="66" spans="1:7" x14ac:dyDescent="0.25">
      <c r="A66" s="7" t="s">
        <v>136</v>
      </c>
      <c r="B66" s="5">
        <f>B18/B12</f>
        <v>586650.88943474647</v>
      </c>
      <c r="C66" s="5">
        <f t="shared" ref="C66:F66" si="11">C18/C12</f>
        <v>582982.15629377204</v>
      </c>
      <c r="D66" s="5">
        <f t="shared" si="11"/>
        <v>232041.40261086824</v>
      </c>
      <c r="E66" s="5">
        <f t="shared" si="11"/>
        <v>1014947.6940748899</v>
      </c>
      <c r="F66" s="5" t="e">
        <f t="shared" si="11"/>
        <v>#DIV/0!</v>
      </c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44</v>
      </c>
      <c r="B68" s="14"/>
      <c r="C68" s="14"/>
      <c r="D68" s="14"/>
      <c r="E68" s="14"/>
      <c r="F68" s="14"/>
    </row>
    <row r="69" spans="1:7" x14ac:dyDescent="0.25">
      <c r="A69" s="7" t="s">
        <v>45</v>
      </c>
      <c r="B69" s="14">
        <f>(B24/B23)*100</f>
        <v>64.377659364414725</v>
      </c>
      <c r="C69" s="14"/>
      <c r="D69" s="14"/>
      <c r="E69" s="14"/>
      <c r="F69" s="14"/>
      <c r="G69" s="11"/>
    </row>
    <row r="70" spans="1:7" x14ac:dyDescent="0.25">
      <c r="A70" s="7" t="s">
        <v>46</v>
      </c>
      <c r="B70" s="14">
        <f>(B18/B24)*100</f>
        <v>86.27984250155653</v>
      </c>
      <c r="C70" s="14"/>
      <c r="D70" s="14"/>
      <c r="E70" s="14"/>
      <c r="F70" s="14"/>
      <c r="G70" s="11"/>
    </row>
    <row r="71" spans="1:7" ht="15.75" thickBot="1" x14ac:dyDescent="0.3">
      <c r="A71" s="21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59</v>
      </c>
    </row>
    <row r="74" spans="1:7" x14ac:dyDescent="0.25">
      <c r="A74" t="s">
        <v>60</v>
      </c>
    </row>
    <row r="75" spans="1:7" x14ac:dyDescent="0.25">
      <c r="A75" t="s">
        <v>61</v>
      </c>
      <c r="B75" s="16"/>
      <c r="C75" s="16"/>
      <c r="D75" s="16"/>
    </row>
    <row r="76" spans="1:7" x14ac:dyDescent="0.25">
      <c r="A76" t="s">
        <v>82</v>
      </c>
    </row>
    <row r="77" spans="1:7" x14ac:dyDescent="0.25">
      <c r="A77" t="s">
        <v>83</v>
      </c>
    </row>
    <row r="79" spans="1:7" x14ac:dyDescent="0.25">
      <c r="A79" t="s">
        <v>114</v>
      </c>
    </row>
    <row r="80" spans="1:7" x14ac:dyDescent="0.25">
      <c r="A80" t="s">
        <v>115</v>
      </c>
    </row>
    <row r="81" spans="1:1" x14ac:dyDescent="0.25">
      <c r="A81" t="s">
        <v>116</v>
      </c>
    </row>
    <row r="82" spans="1:1" x14ac:dyDescent="0.25">
      <c r="A82" t="s">
        <v>117</v>
      </c>
    </row>
    <row r="83" spans="1:1" x14ac:dyDescent="0.25">
      <c r="A83" t="s">
        <v>128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0" sqref="D10"/>
    </sheetView>
  </sheetViews>
  <sheetFormatPr baseColWidth="10" defaultRowHeight="15" x14ac:dyDescent="0.25"/>
  <cols>
    <col min="1" max="1" width="55.140625" style="25" customWidth="1"/>
    <col min="2" max="2" width="17.5703125" style="25" bestFit="1" customWidth="1"/>
    <col min="3" max="3" width="18.7109375" style="25" customWidth="1"/>
    <col min="4" max="4" width="16.28515625" style="25" customWidth="1"/>
    <col min="5" max="5" width="15.5703125" style="25" customWidth="1"/>
    <col min="6" max="6" width="14.5703125" style="25" customWidth="1"/>
    <col min="7" max="7" width="18.7109375" style="25" customWidth="1"/>
    <col min="8" max="16384" width="11.42578125" style="25"/>
  </cols>
  <sheetData>
    <row r="2" spans="1:6" ht="15.75" x14ac:dyDescent="0.25">
      <c r="A2" s="37" t="s">
        <v>126</v>
      </c>
      <c r="B2" s="37"/>
      <c r="C2" s="37"/>
      <c r="D2" s="37"/>
      <c r="E2" s="37"/>
    </row>
    <row r="4" spans="1:6" ht="15" customHeight="1" x14ac:dyDescent="0.25">
      <c r="A4" s="38" t="s">
        <v>0</v>
      </c>
      <c r="B4" s="35"/>
      <c r="C4" s="42" t="s">
        <v>2</v>
      </c>
      <c r="D4" s="42"/>
      <c r="E4" s="42"/>
      <c r="F4" s="42"/>
    </row>
    <row r="5" spans="1:6" ht="15.75" thickBot="1" x14ac:dyDescent="0.3">
      <c r="A5" s="39"/>
      <c r="B5" s="26" t="s">
        <v>120</v>
      </c>
      <c r="C5" s="26" t="s">
        <v>3</v>
      </c>
      <c r="D5" s="26" t="s">
        <v>4</v>
      </c>
      <c r="E5" s="26" t="s">
        <v>5</v>
      </c>
      <c r="F5" s="26" t="s">
        <v>6</v>
      </c>
    </row>
    <row r="6" spans="1:6" ht="15.75" thickTop="1" x14ac:dyDescent="0.25"/>
    <row r="7" spans="1:6" x14ac:dyDescent="0.25">
      <c r="A7" s="27" t="s">
        <v>7</v>
      </c>
    </row>
    <row r="9" spans="1:6" x14ac:dyDescent="0.25">
      <c r="A9" s="25" t="s">
        <v>118</v>
      </c>
    </row>
    <row r="10" spans="1:6" x14ac:dyDescent="0.25">
      <c r="A10" s="28" t="s">
        <v>94</v>
      </c>
      <c r="B10" s="9">
        <f t="shared" ref="B10" si="0">SUM(C10:E10)</f>
        <v>1653.1666666666665</v>
      </c>
      <c r="C10" s="9">
        <f>('I Trimestre'!C10+'II Trimestre'!C10+'III Trimestre'!C10+'IV Trimestre'!C10)/4</f>
        <v>1300</v>
      </c>
      <c r="D10" s="9">
        <f>('I Trimestre'!D10+'II Trimestre'!D10+'III Trimestre'!D10+'IV Trimestre'!D10)/4</f>
        <v>353.16666666666663</v>
      </c>
      <c r="E10" s="9">
        <f>('I Trimestre'!E10+'II Trimestre'!E10+'III Trimestre'!E10+'IV Trimestre'!E10)/4</f>
        <v>0</v>
      </c>
      <c r="F10" s="9">
        <f>('I Trimestre'!F10+'II Trimestre'!F10+'III Trimestre'!F10+'IV Trimestre'!F10)/4</f>
        <v>0</v>
      </c>
    </row>
    <row r="11" spans="1:6" x14ac:dyDescent="0.25">
      <c r="A11" s="29" t="s">
        <v>95</v>
      </c>
      <c r="B11" s="9">
        <f>SUM(C11:E11)</f>
        <v>3264.3333333333335</v>
      </c>
      <c r="C11" s="9">
        <f>('I Trimestre'!C11+'II Trimestre'!C11+'III Trimestre'!C11+'IV Trimestre'!C11)/4</f>
        <v>1605</v>
      </c>
      <c r="D11" s="9">
        <f>('I Trimestre'!D11+'II Trimestre'!D11+'III Trimestre'!D11+'IV Trimestre'!D11)/4</f>
        <v>640</v>
      </c>
      <c r="E11" s="9">
        <f>('I Trimestre'!E11+'II Trimestre'!E11+'III Trimestre'!E11+'IV Trimestre'!E11)/4</f>
        <v>1019.3333333333334</v>
      </c>
      <c r="F11" s="9">
        <f>('I Trimestre'!F11+'II Trimestre'!F11+'III Trimestre'!F11+'IV Trimestre'!F11)/4</f>
        <v>6.75</v>
      </c>
    </row>
    <row r="12" spans="1:6" x14ac:dyDescent="0.25">
      <c r="A12" s="29" t="s">
        <v>96</v>
      </c>
      <c r="B12" s="25">
        <f>SUM(C12:E12)</f>
        <v>3066.8333333333335</v>
      </c>
      <c r="C12" s="9">
        <f>('I Trimestre'!C12+'II Trimestre'!C12+'III Trimestre'!C12+'IV Trimestre'!C12)/4</f>
        <v>1452.75</v>
      </c>
      <c r="D12" s="9">
        <f>('I Trimestre'!D12+'II Trimestre'!D12+'III Trimestre'!D12+'IV Trimestre'!D12)/4</f>
        <v>583.33333333333337</v>
      </c>
      <c r="E12" s="9">
        <f>('I Trimestre'!E12+'II Trimestre'!E12+'III Trimestre'!E12+'IV Trimestre'!E12)/4</f>
        <v>1030.75</v>
      </c>
      <c r="F12" s="9">
        <f>('I Trimestre'!F12+'II Trimestre'!F12+'III Trimestre'!F12+'IV Trimestre'!F12)/4</f>
        <v>0</v>
      </c>
    </row>
    <row r="13" spans="1:6" x14ac:dyDescent="0.25">
      <c r="A13" s="29" t="s">
        <v>11</v>
      </c>
      <c r="B13" s="9">
        <f>SUM(C13:E13)</f>
        <v>4045</v>
      </c>
      <c r="C13" s="9">
        <f>'IV Trimestre'!C13</f>
        <v>1605</v>
      </c>
      <c r="D13" s="9">
        <f>'IV Trimestre'!D13</f>
        <v>640</v>
      </c>
      <c r="E13" s="9">
        <f>'IV Trimestre'!E13</f>
        <v>1800</v>
      </c>
      <c r="F13" s="9">
        <f>'IV Trimestre'!F13</f>
        <v>27</v>
      </c>
    </row>
    <row r="14" spans="1:6" x14ac:dyDescent="0.25">
      <c r="F14" s="9"/>
    </row>
    <row r="15" spans="1:6" x14ac:dyDescent="0.25">
      <c r="A15" s="30" t="s">
        <v>12</v>
      </c>
      <c r="F15" s="9"/>
    </row>
    <row r="16" spans="1:6" x14ac:dyDescent="0.25">
      <c r="A16" s="28" t="s">
        <v>94</v>
      </c>
      <c r="B16" s="9">
        <f t="shared" ref="B16" si="1">SUM(C16:E16)</f>
        <v>1281632733.3599999</v>
      </c>
      <c r="C16" s="9">
        <f>'I Trimestre'!C16+'II Trimestre'!C16+'III Trimestre'!C16+'IV Trimestre'!C16</f>
        <v>1155926279.26</v>
      </c>
      <c r="D16" s="9">
        <f>'I Trimestre'!D16+'II Trimestre'!D16+'III Trimestre'!D16+'IV Trimestre'!D16</f>
        <v>125706454.09999999</v>
      </c>
      <c r="E16" s="9">
        <f>'I Trimestre'!E16+'II Trimestre'!E16+'III Trimestre'!E16+'IV Trimestre'!E16</f>
        <v>0</v>
      </c>
      <c r="F16" s="9">
        <f>'I Trimestre'!F16+'II Trimestre'!F16+'III Trimestre'!F16+'IV Trimestre'!F16</f>
        <v>0</v>
      </c>
    </row>
    <row r="17" spans="1:7" x14ac:dyDescent="0.25">
      <c r="A17" s="29" t="s">
        <v>95</v>
      </c>
      <c r="B17" s="9">
        <f>SUM(C17:F17)</f>
        <v>4470522653.4351997</v>
      </c>
      <c r="C17" s="9">
        <f>'I Trimestre'!C17+'II Trimestre'!C17+'III Trimestre'!C17+'IV Trimestre'!C17</f>
        <v>1200725084.6399999</v>
      </c>
      <c r="D17" s="9">
        <f>'I Trimestre'!D17+'II Trimestre'!D17+'III Trimestre'!D17+'IV Trimestre'!D17</f>
        <v>196329030.36000001</v>
      </c>
      <c r="E17" s="9">
        <f>'I Trimestre'!E17+'II Trimestre'!E17+'III Trimestre'!E17+'IV Trimestre'!E17</f>
        <v>2073468538.4352</v>
      </c>
      <c r="F17" s="9">
        <f>'I Trimestre'!F17+'II Trimestre'!F17+'III Trimestre'!F17+'IV Trimestre'!F17</f>
        <v>1000000000</v>
      </c>
    </row>
    <row r="18" spans="1:7" x14ac:dyDescent="0.25">
      <c r="A18" s="29" t="s">
        <v>96</v>
      </c>
      <c r="B18" s="25">
        <f>SUM(C18:E18)</f>
        <v>3536749812.1700001</v>
      </c>
      <c r="C18" s="9">
        <f>'I Trimestre'!C18+'II Trimestre'!C18+'III Trimestre'!C18+'IV Trimestre'!C18</f>
        <v>1419353261.02</v>
      </c>
      <c r="D18" s="9">
        <f>'I Trimestre'!D18+'II Trimestre'!D18+'III Trimestre'!D18+'IV Trimestre'!D18</f>
        <v>219592815.01000002</v>
      </c>
      <c r="E18" s="9">
        <f>'I Trimestre'!E18+'II Trimestre'!E18+'III Trimestre'!E18+'IV Trimestre'!E18</f>
        <v>1897803736.1399999</v>
      </c>
      <c r="F18" s="9">
        <f>'I Trimestre'!F18+'II Trimestre'!F18+'III Trimestre'!F18+'IV Trimestre'!F18</f>
        <v>0</v>
      </c>
    </row>
    <row r="19" spans="1:7" x14ac:dyDescent="0.25">
      <c r="A19" s="29" t="s">
        <v>11</v>
      </c>
      <c r="B19" s="25">
        <f>'IV Trimestre'!B19</f>
        <v>4464522655</v>
      </c>
      <c r="C19" s="25">
        <f>'IV Trimestre'!C19</f>
        <v>1202555691</v>
      </c>
      <c r="D19" s="25">
        <f>'IV Trimestre'!D19</f>
        <v>194498424</v>
      </c>
      <c r="E19" s="25">
        <f>'IV Trimestre'!E19</f>
        <v>2067468540</v>
      </c>
      <c r="F19" s="25">
        <f>'IV Trimestre'!F19</f>
        <v>1000000000</v>
      </c>
    </row>
    <row r="20" spans="1:7" x14ac:dyDescent="0.25">
      <c r="A20" s="29" t="s">
        <v>97</v>
      </c>
      <c r="B20" s="9">
        <f>SUM(C20:E20)</f>
        <v>3536749812.1700001</v>
      </c>
      <c r="C20" s="9">
        <f>C18</f>
        <v>1419353261.02</v>
      </c>
      <c r="D20" s="9">
        <f t="shared" ref="D20:E20" si="2">D18</f>
        <v>219592815.01000002</v>
      </c>
      <c r="E20" s="9">
        <f t="shared" si="2"/>
        <v>1897803736.1399999</v>
      </c>
      <c r="F20" s="9"/>
    </row>
    <row r="21" spans="1:7" x14ac:dyDescent="0.25">
      <c r="F21" s="9"/>
    </row>
    <row r="22" spans="1:7" x14ac:dyDescent="0.25">
      <c r="A22" s="31" t="s">
        <v>14</v>
      </c>
      <c r="B22" s="9"/>
      <c r="C22" s="9"/>
      <c r="D22" s="9"/>
      <c r="E22" s="9"/>
      <c r="F22" s="9"/>
    </row>
    <row r="23" spans="1:7" x14ac:dyDescent="0.25">
      <c r="A23" s="28" t="s">
        <v>95</v>
      </c>
      <c r="B23" s="9">
        <f>B17</f>
        <v>4470522653.4351997</v>
      </c>
      <c r="C23" s="9">
        <f t="shared" ref="C23:E23" si="3">C17</f>
        <v>1200725084.6399999</v>
      </c>
      <c r="D23" s="9">
        <f t="shared" si="3"/>
        <v>196329030.36000001</v>
      </c>
      <c r="E23" s="9">
        <f t="shared" si="3"/>
        <v>2073468538.4352</v>
      </c>
      <c r="F23" s="9">
        <v>0</v>
      </c>
      <c r="G23" s="32"/>
    </row>
    <row r="24" spans="1:7" x14ac:dyDescent="0.25">
      <c r="A24" s="28" t="s">
        <v>96</v>
      </c>
      <c r="B24" s="9">
        <f>'I Trimestre'!B24+'II Trimestre'!B24+'III Trimestre'!B24+'IV Trimestre'!B24</f>
        <v>3997669038.6400003</v>
      </c>
      <c r="C24" s="50"/>
      <c r="D24" s="50"/>
      <c r="E24" s="9"/>
      <c r="F24" s="9"/>
      <c r="G24" s="32"/>
    </row>
    <row r="25" spans="1:7" x14ac:dyDescent="0.25">
      <c r="A25" s="9"/>
      <c r="B25" s="9"/>
      <c r="C25" s="9"/>
      <c r="D25" s="9"/>
      <c r="E25" s="9"/>
      <c r="F25" s="9"/>
    </row>
    <row r="26" spans="1:7" x14ac:dyDescent="0.25">
      <c r="A26" s="9" t="s">
        <v>15</v>
      </c>
      <c r="B26" s="9"/>
      <c r="C26" s="9"/>
      <c r="D26" s="9"/>
      <c r="E26" s="9"/>
      <c r="F26" s="9"/>
    </row>
    <row r="27" spans="1:7" x14ac:dyDescent="0.25">
      <c r="A27" s="28" t="s">
        <v>98</v>
      </c>
      <c r="B27" s="9">
        <v>1.4000346908083336</v>
      </c>
      <c r="C27" s="9">
        <v>1.4000346908083336</v>
      </c>
      <c r="D27" s="9">
        <v>1.4000346908083336</v>
      </c>
      <c r="E27" s="9">
        <v>1.4000346908083336</v>
      </c>
      <c r="F27" s="9">
        <v>1.4000346908083336</v>
      </c>
    </row>
    <row r="28" spans="1:7" x14ac:dyDescent="0.25">
      <c r="A28" s="28" t="s">
        <v>99</v>
      </c>
      <c r="B28" s="9">
        <v>1.4683304717083301</v>
      </c>
      <c r="C28" s="9">
        <v>1.4683304717083334</v>
      </c>
      <c r="D28" s="9">
        <v>1.4683304717083334</v>
      </c>
      <c r="E28" s="9">
        <v>1.4683304717083334</v>
      </c>
      <c r="F28" s="9">
        <v>1.4683304717083334</v>
      </c>
    </row>
    <row r="29" spans="1:7" x14ac:dyDescent="0.25">
      <c r="A29" s="28" t="s">
        <v>18</v>
      </c>
      <c r="B29" s="9">
        <v>22909</v>
      </c>
      <c r="C29" s="9">
        <v>22909</v>
      </c>
      <c r="D29" s="9">
        <v>22909</v>
      </c>
      <c r="E29" s="9">
        <v>22909</v>
      </c>
      <c r="F29" s="9">
        <v>22909</v>
      </c>
    </row>
    <row r="30" spans="1:7" x14ac:dyDescent="0.25">
      <c r="A30" s="9"/>
      <c r="B30" s="9"/>
      <c r="C30" s="9"/>
      <c r="D30" s="9"/>
      <c r="E30" s="9"/>
      <c r="F30" s="9"/>
    </row>
    <row r="31" spans="1:7" x14ac:dyDescent="0.25">
      <c r="A31" s="33" t="s">
        <v>19</v>
      </c>
      <c r="B31" s="9"/>
      <c r="C31" s="9"/>
      <c r="D31" s="9"/>
      <c r="E31" s="9"/>
      <c r="F31" s="9"/>
    </row>
    <row r="32" spans="1:7" x14ac:dyDescent="0.25">
      <c r="A32" s="9" t="s">
        <v>100</v>
      </c>
      <c r="B32" s="9">
        <f>B16/B27</f>
        <v>915429268.84192252</v>
      </c>
      <c r="C32" s="9">
        <f>C16/C27</f>
        <v>825641169.35745811</v>
      </c>
      <c r="D32" s="9">
        <f>D16/D27</f>
        <v>89788099.484464377</v>
      </c>
      <c r="E32" s="9">
        <f>E16/E27</f>
        <v>0</v>
      </c>
      <c r="F32" s="9">
        <f>F16/F27</f>
        <v>0</v>
      </c>
    </row>
    <row r="33" spans="1:7" x14ac:dyDescent="0.25">
      <c r="A33" s="9" t="s">
        <v>101</v>
      </c>
      <c r="B33" s="9">
        <f>B18/B28</f>
        <v>2408687880.7705774</v>
      </c>
      <c r="C33" s="9">
        <f>C18/C28</f>
        <v>966644286.39735937</v>
      </c>
      <c r="D33" s="9">
        <f>D18/D28</f>
        <v>149552719.39191872</v>
      </c>
      <c r="E33" s="9">
        <f>E18/E28</f>
        <v>1292490874.9812939</v>
      </c>
      <c r="F33" s="9">
        <f>F18/F28</f>
        <v>0</v>
      </c>
      <c r="G33" s="9"/>
    </row>
    <row r="34" spans="1:7" x14ac:dyDescent="0.25">
      <c r="A34" s="9" t="s">
        <v>102</v>
      </c>
      <c r="B34" s="9">
        <f>B32/(B10*12)</f>
        <v>46145.239885165967</v>
      </c>
      <c r="C34" s="9">
        <f t="shared" ref="C34:F34" si="4">C32/(C10*12)</f>
        <v>52925.715984452443</v>
      </c>
      <c r="D34" s="9">
        <f t="shared" si="4"/>
        <v>21186.432157731095</v>
      </c>
      <c r="E34" s="9" t="e">
        <f t="shared" si="4"/>
        <v>#DIV/0!</v>
      </c>
      <c r="F34" s="9" t="e">
        <f t="shared" si="4"/>
        <v>#DIV/0!</v>
      </c>
    </row>
    <row r="35" spans="1:7" x14ac:dyDescent="0.25">
      <c r="A35" s="9" t="s">
        <v>103</v>
      </c>
      <c r="B35" s="9">
        <f>B33/(B12*12)</f>
        <v>65449.917960180901</v>
      </c>
      <c r="C35" s="9">
        <f t="shared" ref="C35:F35" si="5">C33/(C12*12)</f>
        <v>55449.107233256429</v>
      </c>
      <c r="D35" s="9">
        <f t="shared" si="5"/>
        <v>21364.674198845532</v>
      </c>
      <c r="E35" s="9">
        <f t="shared" si="5"/>
        <v>104494.37100665324</v>
      </c>
      <c r="F35" s="9" t="e">
        <f t="shared" si="5"/>
        <v>#DIV/0!</v>
      </c>
    </row>
    <row r="36" spans="1:7" x14ac:dyDescent="0.25">
      <c r="A36" s="9"/>
      <c r="B36" s="9"/>
      <c r="C36" s="9"/>
      <c r="D36" s="9"/>
      <c r="E36" s="9"/>
      <c r="F36" s="9"/>
    </row>
    <row r="37" spans="1:7" x14ac:dyDescent="0.25">
      <c r="A37" s="27" t="s">
        <v>24</v>
      </c>
      <c r="F37" s="9"/>
    </row>
    <row r="38" spans="1:7" x14ac:dyDescent="0.25">
      <c r="F38" s="9"/>
    </row>
    <row r="39" spans="1:7" x14ac:dyDescent="0.25">
      <c r="A39" s="25" t="s">
        <v>25</v>
      </c>
      <c r="F39" s="9"/>
    </row>
    <row r="40" spans="1:7" x14ac:dyDescent="0.25">
      <c r="A40" s="25" t="s">
        <v>26</v>
      </c>
      <c r="B40" s="9">
        <f>B11/B29*100</f>
        <v>14.249130618243194</v>
      </c>
      <c r="C40" s="9">
        <f>C11/C29*100</f>
        <v>7.005980182461041</v>
      </c>
      <c r="D40" s="9">
        <f>D11/D29*100</f>
        <v>2.7936618796106334</v>
      </c>
      <c r="E40" s="9">
        <f>E11/E29*100</f>
        <v>4.4494885561715192</v>
      </c>
      <c r="F40" s="9">
        <f>F11/F29*100</f>
        <v>2.9464402636518401E-2</v>
      </c>
    </row>
    <row r="41" spans="1:7" x14ac:dyDescent="0.25">
      <c r="A41" s="25" t="s">
        <v>27</v>
      </c>
      <c r="B41" s="9">
        <f>B12/B29*100</f>
        <v>13.3870240225821</v>
      </c>
      <c r="C41" s="9">
        <f>C12/C29*100</f>
        <v>6.3413942118817932</v>
      </c>
      <c r="D41" s="9">
        <f>D12/D29*100</f>
        <v>2.5463064006867753</v>
      </c>
      <c r="E41" s="9">
        <f>E12/E29*100</f>
        <v>4.499323410013532</v>
      </c>
      <c r="F41" s="9">
        <f>F12/F29*100</f>
        <v>0</v>
      </c>
    </row>
    <row r="42" spans="1:7" x14ac:dyDescent="0.25">
      <c r="B42" s="9"/>
      <c r="C42" s="9"/>
      <c r="D42" s="9"/>
      <c r="E42" s="9"/>
      <c r="F42" s="9"/>
    </row>
    <row r="43" spans="1:7" x14ac:dyDescent="0.25">
      <c r="A43" s="25" t="s">
        <v>28</v>
      </c>
      <c r="B43" s="9"/>
      <c r="C43" s="9"/>
      <c r="D43" s="9"/>
      <c r="E43" s="9"/>
      <c r="F43" s="9"/>
    </row>
    <row r="44" spans="1:7" x14ac:dyDescent="0.25">
      <c r="A44" s="25" t="s">
        <v>29</v>
      </c>
      <c r="B44" s="9">
        <f>B12/B11*100</f>
        <v>93.949760032676394</v>
      </c>
      <c r="C44" s="9">
        <f>C12/C11*100</f>
        <v>90.514018691588788</v>
      </c>
      <c r="D44" s="9">
        <f>D12/D11*100</f>
        <v>91.145833333333343</v>
      </c>
      <c r="E44" s="9">
        <f>E12/E11*100</f>
        <v>101.12001308044474</v>
      </c>
      <c r="F44" s="9">
        <f>F12/F11*100</f>
        <v>0</v>
      </c>
    </row>
    <row r="45" spans="1:7" x14ac:dyDescent="0.25">
      <c r="A45" s="25" t="s">
        <v>30</v>
      </c>
      <c r="B45" s="9">
        <f>B18/B17*100</f>
        <v>79.112669509734431</v>
      </c>
      <c r="C45" s="9">
        <f>C18/C17*100</f>
        <v>118.20801273969795</v>
      </c>
      <c r="D45" s="9">
        <f>D18/D17*100</f>
        <v>111.84938600641088</v>
      </c>
      <c r="E45" s="9">
        <f>E18/E17*100</f>
        <v>91.52797358440894</v>
      </c>
      <c r="F45" s="9">
        <f>F18/F17*100</f>
        <v>0</v>
      </c>
    </row>
    <row r="46" spans="1:7" x14ac:dyDescent="0.25">
      <c r="A46" s="9" t="s">
        <v>31</v>
      </c>
      <c r="B46" s="9">
        <f>AVERAGE(B44:B45)</f>
        <v>86.531214771205413</v>
      </c>
      <c r="C46" s="9">
        <f>AVERAGE(C44:C45)</f>
        <v>104.36101571564336</v>
      </c>
      <c r="D46" s="9">
        <f>AVERAGE(D44:D45)</f>
        <v>101.49760966987211</v>
      </c>
      <c r="E46" s="9">
        <f>AVERAGE(E44:E45)</f>
        <v>96.323993332426838</v>
      </c>
      <c r="F46" s="9">
        <f>AVERAGE(F44:F45)</f>
        <v>0</v>
      </c>
    </row>
    <row r="47" spans="1:7" x14ac:dyDescent="0.25">
      <c r="A47" s="9"/>
      <c r="B47" s="9"/>
      <c r="C47" s="9"/>
      <c r="D47" s="9"/>
      <c r="E47" s="9"/>
      <c r="F47" s="9"/>
    </row>
    <row r="48" spans="1:7" x14ac:dyDescent="0.25">
      <c r="A48" s="9" t="s">
        <v>32</v>
      </c>
      <c r="B48" s="9"/>
      <c r="C48" s="9"/>
      <c r="D48" s="9"/>
      <c r="E48" s="9"/>
      <c r="F48" s="9"/>
    </row>
    <row r="49" spans="1:7" x14ac:dyDescent="0.25">
      <c r="A49" s="9" t="s">
        <v>33</v>
      </c>
      <c r="B49" s="9">
        <f>(B12)/B13*100</f>
        <v>75.817882159044089</v>
      </c>
      <c r="C49" s="9">
        <f t="shared" ref="C49:F49" si="6">(C12)/C13*100</f>
        <v>90.514018691588788</v>
      </c>
      <c r="D49" s="9">
        <f t="shared" si="6"/>
        <v>91.145833333333343</v>
      </c>
      <c r="E49" s="9">
        <f t="shared" si="6"/>
        <v>57.263888888888893</v>
      </c>
      <c r="F49" s="9">
        <f t="shared" si="6"/>
        <v>0</v>
      </c>
    </row>
    <row r="50" spans="1:7" x14ac:dyDescent="0.25">
      <c r="A50" s="9" t="s">
        <v>34</v>
      </c>
      <c r="B50" s="9">
        <f>B18/B19*100</f>
        <v>79.218991266827828</v>
      </c>
      <c r="C50" s="9">
        <f>C18/C19*100</f>
        <v>118.02806902354097</v>
      </c>
      <c r="D50" s="9">
        <f>D18/D19*100</f>
        <v>112.90210506281532</v>
      </c>
      <c r="E50" s="9">
        <f>E18/E19*100</f>
        <v>91.793596827354861</v>
      </c>
      <c r="F50" s="9">
        <f>F18/F19*100</f>
        <v>0</v>
      </c>
    </row>
    <row r="51" spans="1:7" x14ac:dyDescent="0.25">
      <c r="A51" s="9" t="s">
        <v>35</v>
      </c>
      <c r="B51" s="9">
        <f>(B49+B50)/2</f>
        <v>77.518436712935966</v>
      </c>
      <c r="C51" s="9">
        <f>(C49+C50)/2</f>
        <v>104.27104385756488</v>
      </c>
      <c r="D51" s="9">
        <f>(D49+D50)/2</f>
        <v>102.02396919807433</v>
      </c>
      <c r="E51" s="9">
        <f>(E49+E50)/2</f>
        <v>74.528742858121873</v>
      </c>
      <c r="F51" s="9">
        <f>(F49+F50)/2</f>
        <v>0</v>
      </c>
    </row>
    <row r="52" spans="1:7" x14ac:dyDescent="0.25">
      <c r="A52" s="9"/>
      <c r="B52" s="9"/>
      <c r="C52" s="9"/>
      <c r="D52" s="9"/>
      <c r="E52" s="9"/>
      <c r="F52" s="9"/>
    </row>
    <row r="53" spans="1:7" x14ac:dyDescent="0.25">
      <c r="A53" s="9" t="s">
        <v>36</v>
      </c>
      <c r="B53" s="9"/>
      <c r="C53" s="9"/>
      <c r="D53" s="9"/>
      <c r="E53" s="9"/>
      <c r="F53" s="9"/>
    </row>
    <row r="54" spans="1:7" x14ac:dyDescent="0.25">
      <c r="A54" s="9" t="s">
        <v>37</v>
      </c>
      <c r="B54" s="9">
        <f>B20/B18*100</f>
        <v>100</v>
      </c>
      <c r="C54" s="9">
        <f>C20/C18*100</f>
        <v>100</v>
      </c>
      <c r="D54" s="9">
        <f>D20/D18*100</f>
        <v>100</v>
      </c>
      <c r="E54" s="9">
        <f>E20/E18*100</f>
        <v>100</v>
      </c>
      <c r="F54" s="9" t="e">
        <f>F20/F18*100</f>
        <v>#DIV/0!</v>
      </c>
    </row>
    <row r="55" spans="1:7" x14ac:dyDescent="0.25">
      <c r="A55" s="9"/>
      <c r="B55" s="9"/>
      <c r="C55" s="9"/>
      <c r="D55" s="9"/>
      <c r="E55" s="9"/>
      <c r="F55" s="9"/>
    </row>
    <row r="56" spans="1:7" x14ac:dyDescent="0.25">
      <c r="A56" s="9" t="s">
        <v>38</v>
      </c>
      <c r="B56" s="9"/>
      <c r="C56" s="9"/>
      <c r="D56" s="9"/>
      <c r="E56" s="9"/>
      <c r="F56" s="9"/>
    </row>
    <row r="57" spans="1:7" x14ac:dyDescent="0.25">
      <c r="A57" s="9" t="s">
        <v>39</v>
      </c>
      <c r="B57" s="9">
        <f>((B12/B10)-1)*100</f>
        <v>85.512652485129578</v>
      </c>
      <c r="C57" s="9">
        <f>((C12/C10)-1)*100</f>
        <v>11.749999999999993</v>
      </c>
      <c r="D57" s="9">
        <f>((D12/D10)-1)*100</f>
        <v>65.172251061821655</v>
      </c>
      <c r="E57" s="9" t="e">
        <f>((E12/E10)-1)*100</f>
        <v>#DIV/0!</v>
      </c>
      <c r="F57" s="9" t="e">
        <f>((F12/F10)-1)*100</f>
        <v>#DIV/0!</v>
      </c>
    </row>
    <row r="58" spans="1:7" x14ac:dyDescent="0.25">
      <c r="A58" s="9" t="s">
        <v>40</v>
      </c>
      <c r="B58" s="9">
        <f>((B33/B32)-1)*100</f>
        <v>163.1211348330302</v>
      </c>
      <c r="C58" s="9">
        <f>((C33/C32)-1)*100</f>
        <v>17.078014308520338</v>
      </c>
      <c r="D58" s="9">
        <f>((D33/D32)-1)*100</f>
        <v>66.561849789230848</v>
      </c>
      <c r="E58" s="9" t="e">
        <f>((E33/E32)-1)*100</f>
        <v>#DIV/0!</v>
      </c>
      <c r="F58" s="9" t="e">
        <f>((F33/F32)-1)*100</f>
        <v>#DIV/0!</v>
      </c>
      <c r="G58" s="9"/>
    </row>
    <row r="59" spans="1:7" x14ac:dyDescent="0.25">
      <c r="A59" s="9" t="s">
        <v>41</v>
      </c>
      <c r="B59" s="9">
        <f>((B35/B34)-1)*100</f>
        <v>41.834603358992808</v>
      </c>
      <c r="C59" s="9">
        <f>((C35/C34)-1)*100</f>
        <v>4.7677980389443597</v>
      </c>
      <c r="D59" s="9">
        <f>((D35/D34)-1)*100</f>
        <v>0.84130277239433671</v>
      </c>
      <c r="E59" s="9" t="e">
        <f>((E35/E34)-1)*100</f>
        <v>#DIV/0!</v>
      </c>
      <c r="F59" s="9" t="e">
        <f>((F35/F34)-1)*100</f>
        <v>#DIV/0!</v>
      </c>
    </row>
    <row r="60" spans="1:7" x14ac:dyDescent="0.25">
      <c r="A60" s="9"/>
      <c r="B60" s="9"/>
      <c r="C60" s="9"/>
      <c r="D60" s="9"/>
      <c r="E60" s="9"/>
      <c r="F60" s="9"/>
    </row>
    <row r="61" spans="1:7" x14ac:dyDescent="0.25">
      <c r="A61" s="9" t="s">
        <v>42</v>
      </c>
      <c r="B61" s="9"/>
      <c r="C61" s="9"/>
      <c r="D61" s="9"/>
      <c r="E61" s="9"/>
      <c r="F61" s="9"/>
    </row>
    <row r="62" spans="1:7" x14ac:dyDescent="0.25">
      <c r="A62" s="9" t="s">
        <v>129</v>
      </c>
      <c r="B62" s="9">
        <f>B17/(B11*12)</f>
        <v>114125.46342885734</v>
      </c>
      <c r="C62" s="9">
        <f t="shared" ref="C62:F62" si="7">C17/(C11*12)</f>
        <v>62342.943127725848</v>
      </c>
      <c r="D62" s="9">
        <f t="shared" si="7"/>
        <v>25563.675828125</v>
      </c>
      <c r="E62" s="9">
        <f t="shared" si="7"/>
        <v>169511.81641883584</v>
      </c>
      <c r="F62" s="9">
        <f t="shared" si="7"/>
        <v>12345679.012345679</v>
      </c>
    </row>
    <row r="63" spans="1:7" x14ac:dyDescent="0.25">
      <c r="A63" s="9" t="s">
        <v>130</v>
      </c>
      <c r="B63" s="9">
        <f>B18/(B12*12)</f>
        <v>96102.108911743926</v>
      </c>
      <c r="C63" s="9">
        <f t="shared" ref="C63:F63" si="8">C18/(C12*12)</f>
        <v>81417.61377961337</v>
      </c>
      <c r="D63" s="9">
        <f t="shared" si="8"/>
        <v>31370.402144285716</v>
      </c>
      <c r="E63" s="9">
        <f t="shared" si="8"/>
        <v>153432.26907106474</v>
      </c>
      <c r="F63" s="9" t="e">
        <f t="shared" si="8"/>
        <v>#DIV/0!</v>
      </c>
    </row>
    <row r="64" spans="1:7" x14ac:dyDescent="0.25">
      <c r="A64" s="9" t="s">
        <v>43</v>
      </c>
      <c r="B64" s="9">
        <f>(B62/B63)*B46</f>
        <v>102.7596074493533</v>
      </c>
      <c r="C64" s="9">
        <f>(C62/C63)*C46</f>
        <v>79.91112199779522</v>
      </c>
      <c r="D64" s="9">
        <f>(D62/D63)*D46</f>
        <v>82.710192205897656</v>
      </c>
      <c r="E64" s="9">
        <f>E62/E63*E46</f>
        <v>106.41865087019531</v>
      </c>
      <c r="F64" s="9" t="e">
        <f>(F62/F63)*F46</f>
        <v>#DIV/0!</v>
      </c>
    </row>
    <row r="65" spans="1:7" x14ac:dyDescent="0.25">
      <c r="A65" s="9" t="s">
        <v>137</v>
      </c>
      <c r="B65" s="9">
        <f>B17/B11</f>
        <v>1369505.5611462879</v>
      </c>
      <c r="C65" s="9">
        <f t="shared" ref="C65:F65" si="9">C17/C11</f>
        <v>748115.31753271015</v>
      </c>
      <c r="D65" s="9">
        <f t="shared" si="9"/>
        <v>306764.10993750003</v>
      </c>
      <c r="E65" s="9">
        <f t="shared" si="9"/>
        <v>2034141.79702603</v>
      </c>
      <c r="F65" s="9">
        <f t="shared" si="9"/>
        <v>148148148.14814815</v>
      </c>
    </row>
    <row r="66" spans="1:7" x14ac:dyDescent="0.25">
      <c r="A66" s="9" t="s">
        <v>138</v>
      </c>
      <c r="B66" s="9">
        <f>B18/B12</f>
        <v>1153225.3069409272</v>
      </c>
      <c r="C66" s="9">
        <f t="shared" ref="C66:F66" si="10">C18/C12</f>
        <v>977011.36535536055</v>
      </c>
      <c r="D66" s="9">
        <f t="shared" si="10"/>
        <v>376444.82573142857</v>
      </c>
      <c r="E66" s="9">
        <f t="shared" si="10"/>
        <v>1841187.228852777</v>
      </c>
      <c r="F66" s="9" t="e">
        <f t="shared" si="10"/>
        <v>#DIV/0!</v>
      </c>
    </row>
    <row r="67" spans="1:7" x14ac:dyDescent="0.25">
      <c r="A67" s="9"/>
      <c r="B67" s="9"/>
      <c r="C67" s="9"/>
      <c r="D67" s="9"/>
      <c r="E67" s="9"/>
      <c r="F67" s="9"/>
    </row>
    <row r="68" spans="1:7" x14ac:dyDescent="0.25">
      <c r="A68" s="9" t="s">
        <v>44</v>
      </c>
      <c r="B68" s="9"/>
      <c r="C68" s="9"/>
      <c r="D68" s="9"/>
      <c r="E68" s="9"/>
      <c r="F68" s="9"/>
    </row>
    <row r="69" spans="1:7" x14ac:dyDescent="0.25">
      <c r="A69" s="9" t="s">
        <v>45</v>
      </c>
      <c r="B69" s="9">
        <f>(B24/B23)*100</f>
        <v>89.422856085253173</v>
      </c>
      <c r="C69" s="9"/>
      <c r="D69" s="9"/>
      <c r="E69" s="9"/>
      <c r="F69" s="9"/>
      <c r="G69" s="32"/>
    </row>
    <row r="70" spans="1:7" x14ac:dyDescent="0.25">
      <c r="A70" s="9" t="s">
        <v>46</v>
      </c>
      <c r="B70" s="9">
        <f>(B18/B24)*100</f>
        <v>88.470300517253321</v>
      </c>
      <c r="C70" s="9"/>
      <c r="D70" s="9"/>
      <c r="E70" s="9"/>
      <c r="F70" s="9"/>
      <c r="G70" s="32"/>
    </row>
    <row r="71" spans="1:7" ht="15.75" thickBot="1" x14ac:dyDescent="0.3">
      <c r="A71" s="36"/>
      <c r="B71" s="34"/>
      <c r="C71" s="34"/>
      <c r="D71" s="34"/>
      <c r="E71" s="34"/>
      <c r="F71" s="34"/>
    </row>
    <row r="72" spans="1:7" ht="15.75" thickTop="1" x14ac:dyDescent="0.25"/>
    <row r="73" spans="1:7" x14ac:dyDescent="0.25">
      <c r="A73" s="25" t="s">
        <v>59</v>
      </c>
    </row>
    <row r="74" spans="1:7" x14ac:dyDescent="0.25">
      <c r="A74" s="25" t="s">
        <v>60</v>
      </c>
    </row>
    <row r="75" spans="1:7" x14ac:dyDescent="0.25">
      <c r="A75" s="25" t="s">
        <v>61</v>
      </c>
    </row>
    <row r="76" spans="1:7" x14ac:dyDescent="0.25">
      <c r="A76" s="25" t="s">
        <v>82</v>
      </c>
    </row>
    <row r="77" spans="1:7" x14ac:dyDescent="0.25">
      <c r="A77" s="25" t="s">
        <v>83</v>
      </c>
    </row>
    <row r="79" spans="1:7" x14ac:dyDescent="0.25">
      <c r="A79" s="25" t="s">
        <v>114</v>
      </c>
    </row>
    <row r="80" spans="1:7" x14ac:dyDescent="0.25">
      <c r="A80" s="25" t="s">
        <v>115</v>
      </c>
    </row>
    <row r="81" spans="1:1" x14ac:dyDescent="0.25">
      <c r="A81" s="25" t="s">
        <v>116</v>
      </c>
    </row>
    <row r="82" spans="1:1" x14ac:dyDescent="0.25">
      <c r="A82" s="25" t="s">
        <v>117</v>
      </c>
    </row>
    <row r="83" spans="1:1" x14ac:dyDescent="0.25">
      <c r="A83" s="25" t="s">
        <v>128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Tercer trimestre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2012-05-29T14:39:16Z</dcterms:created>
  <dcterms:modified xsi:type="dcterms:W3CDTF">2013-10-29T20:21:04Z</dcterms:modified>
</cp:coreProperties>
</file>