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rodriguez\Documents\Hermes Cliente\files\"/>
    </mc:Choice>
  </mc:AlternateContent>
  <bookViews>
    <workbookView xWindow="120" yWindow="135" windowWidth="17520" windowHeight="10005" tabRatio="754" activeTab="6"/>
  </bookViews>
  <sheets>
    <sheet name="I Trimestre" sheetId="4" r:id="rId1"/>
    <sheet name="II Trimestre" sheetId="6" r:id="rId2"/>
    <sheet name="III Trimestre" sheetId="9" r:id="rId3"/>
    <sheet name="IV Trimestre" sheetId="7" r:id="rId4"/>
    <sheet name="I Semestre" sheetId="11" r:id="rId5"/>
    <sheet name="III Trimestre Acumulado" sheetId="10" r:id="rId6"/>
    <sheet name="Anual" sheetId="8" r:id="rId7"/>
  </sheets>
  <calcPr calcId="152511"/>
</workbook>
</file>

<file path=xl/calcChain.xml><?xml version="1.0" encoding="utf-8"?>
<calcChain xmlns="http://schemas.openxmlformats.org/spreadsheetml/2006/main">
  <c r="C49" i="4" l="1"/>
  <c r="D49" i="4"/>
  <c r="E49" i="4"/>
  <c r="D65" i="6" l="1"/>
  <c r="D62" i="6"/>
  <c r="C63" i="4"/>
  <c r="D63" i="4"/>
  <c r="E63" i="4"/>
  <c r="C66" i="4"/>
  <c r="D66" i="4"/>
  <c r="E66" i="4"/>
  <c r="B29" i="8" l="1"/>
  <c r="B29" i="10"/>
  <c r="B29" i="11"/>
  <c r="B29" i="7"/>
  <c r="B29" i="9"/>
  <c r="B29" i="6"/>
  <c r="B29" i="4"/>
  <c r="E18" i="7" l="1"/>
  <c r="D19" i="10"/>
  <c r="D19" i="11"/>
  <c r="E19" i="7"/>
  <c r="E19" i="8" s="1"/>
  <c r="E17" i="7"/>
  <c r="C17" i="7"/>
  <c r="E17" i="9"/>
  <c r="C17" i="9"/>
  <c r="E17" i="6"/>
  <c r="C17" i="6"/>
  <c r="E17" i="4" l="1"/>
  <c r="C17" i="4"/>
  <c r="C65" i="4" l="1"/>
  <c r="C62" i="4"/>
  <c r="E62" i="4"/>
  <c r="E65" i="4"/>
  <c r="E13" i="7"/>
  <c r="E11" i="7"/>
  <c r="E12" i="6"/>
  <c r="D11" i="9"/>
  <c r="E11" i="6"/>
  <c r="C11" i="6"/>
  <c r="D65" i="9" l="1"/>
  <c r="D62" i="9"/>
  <c r="E12" i="9"/>
  <c r="E66" i="6"/>
  <c r="E63" i="6"/>
  <c r="C11" i="9"/>
  <c r="C65" i="6"/>
  <c r="C62" i="6"/>
  <c r="E65" i="6"/>
  <c r="E62" i="6"/>
  <c r="E20" i="7"/>
  <c r="D20" i="7"/>
  <c r="C20" i="7"/>
  <c r="E20" i="9"/>
  <c r="D20" i="9"/>
  <c r="C20" i="9"/>
  <c r="E20" i="6"/>
  <c r="D20" i="6"/>
  <c r="C20" i="6"/>
  <c r="C20" i="4"/>
  <c r="D20" i="4"/>
  <c r="D20" i="10" s="1"/>
  <c r="E20" i="4"/>
  <c r="E20" i="8" l="1"/>
  <c r="C65" i="9"/>
  <c r="C62" i="9"/>
  <c r="E12" i="7"/>
  <c r="E49" i="7" s="1"/>
  <c r="E66" i="9"/>
  <c r="E63" i="9"/>
  <c r="C20" i="8"/>
  <c r="D20" i="11"/>
  <c r="C20" i="10"/>
  <c r="E20" i="10"/>
  <c r="D20" i="8"/>
  <c r="C20" i="11"/>
  <c r="E20" i="11"/>
  <c r="D19" i="7"/>
  <c r="D19" i="8" s="1"/>
  <c r="D13" i="7"/>
  <c r="C19" i="7"/>
  <c r="C19" i="8" s="1"/>
  <c r="C13" i="7"/>
  <c r="E19" i="9"/>
  <c r="E19" i="10" s="1"/>
  <c r="C19" i="9"/>
  <c r="C19" i="10" s="1"/>
  <c r="E13" i="9"/>
  <c r="E49" i="9" s="1"/>
  <c r="D13" i="9"/>
  <c r="C13" i="9"/>
  <c r="E19" i="6"/>
  <c r="E19" i="11" s="1"/>
  <c r="E13" i="6"/>
  <c r="E49" i="6" s="1"/>
  <c r="D13" i="6"/>
  <c r="C19" i="6"/>
  <c r="C19" i="11" s="1"/>
  <c r="C13" i="6"/>
  <c r="B20" i="8" l="1"/>
  <c r="B13" i="7"/>
  <c r="B20" i="10"/>
  <c r="B19" i="7"/>
  <c r="B20" i="11"/>
  <c r="C13" i="8"/>
  <c r="D13" i="8"/>
  <c r="E13" i="8"/>
  <c r="C13" i="10"/>
  <c r="D13" i="10"/>
  <c r="E13" i="10"/>
  <c r="C13" i="11"/>
  <c r="D13" i="11"/>
  <c r="E13" i="11"/>
  <c r="E10" i="6" l="1"/>
  <c r="E10" i="11" s="1"/>
  <c r="D10" i="6"/>
  <c r="D10" i="11" s="1"/>
  <c r="C10" i="6"/>
  <c r="C10" i="11" s="1"/>
  <c r="D10" i="9" l="1"/>
  <c r="D10" i="10" s="1"/>
  <c r="C10" i="9"/>
  <c r="C10" i="10" s="1"/>
  <c r="E10" i="9"/>
  <c r="E10" i="10" s="1"/>
  <c r="E11" i="11"/>
  <c r="D12" i="6"/>
  <c r="C12" i="6"/>
  <c r="D49" i="6" l="1"/>
  <c r="D66" i="6"/>
  <c r="D63" i="6"/>
  <c r="C10" i="7"/>
  <c r="C10" i="8" s="1"/>
  <c r="C49" i="6"/>
  <c r="C66" i="6"/>
  <c r="C63" i="6"/>
  <c r="C12" i="11"/>
  <c r="C49" i="11" s="1"/>
  <c r="E10" i="7"/>
  <c r="E10" i="8" s="1"/>
  <c r="D10" i="7"/>
  <c r="D10" i="8" s="1"/>
  <c r="C11" i="11"/>
  <c r="D12" i="11"/>
  <c r="D49" i="11" s="1"/>
  <c r="D12" i="9"/>
  <c r="C12" i="9"/>
  <c r="E11" i="9"/>
  <c r="C12" i="10"/>
  <c r="C49" i="10" s="1"/>
  <c r="B24" i="11"/>
  <c r="C17" i="11"/>
  <c r="C18" i="11"/>
  <c r="D18" i="11"/>
  <c r="E18" i="11"/>
  <c r="B19" i="11"/>
  <c r="B13" i="11"/>
  <c r="E40" i="11"/>
  <c r="B24" i="10"/>
  <c r="C17" i="10"/>
  <c r="C18" i="10"/>
  <c r="D18" i="10"/>
  <c r="E18" i="10"/>
  <c r="B19" i="10"/>
  <c r="B13" i="10"/>
  <c r="B10" i="10"/>
  <c r="B24" i="8"/>
  <c r="C18" i="8"/>
  <c r="D18" i="8"/>
  <c r="E18" i="8"/>
  <c r="C33" i="9"/>
  <c r="D33" i="9"/>
  <c r="E33" i="9"/>
  <c r="C32" i="9"/>
  <c r="D32" i="9"/>
  <c r="E32" i="9"/>
  <c r="C66" i="10" l="1"/>
  <c r="C63" i="10"/>
  <c r="C66" i="11"/>
  <c r="C63" i="11"/>
  <c r="C23" i="10"/>
  <c r="C62" i="11"/>
  <c r="C65" i="11"/>
  <c r="E11" i="8"/>
  <c r="E65" i="9"/>
  <c r="E62" i="9"/>
  <c r="C49" i="9"/>
  <c r="C66" i="9"/>
  <c r="C63" i="9"/>
  <c r="D63" i="10"/>
  <c r="D63" i="11"/>
  <c r="D66" i="11"/>
  <c r="E11" i="10"/>
  <c r="E40" i="10" s="1"/>
  <c r="D49" i="9"/>
  <c r="D66" i="9"/>
  <c r="D63" i="9"/>
  <c r="D57" i="11"/>
  <c r="B18" i="11"/>
  <c r="C40" i="11"/>
  <c r="C12" i="7"/>
  <c r="C49" i="7" s="1"/>
  <c r="C41" i="10"/>
  <c r="B18" i="10"/>
  <c r="D12" i="7"/>
  <c r="D49" i="7" s="1"/>
  <c r="D12" i="10"/>
  <c r="D49" i="10" s="1"/>
  <c r="C11" i="10"/>
  <c r="C40" i="10" s="1"/>
  <c r="C11" i="8"/>
  <c r="C65" i="8" s="1"/>
  <c r="B10" i="11"/>
  <c r="B10" i="8"/>
  <c r="C57" i="10"/>
  <c r="C57" i="11"/>
  <c r="C23" i="11"/>
  <c r="D33" i="11"/>
  <c r="D41" i="11"/>
  <c r="D50" i="11"/>
  <c r="D54" i="11"/>
  <c r="C33" i="11"/>
  <c r="E33" i="11"/>
  <c r="C41" i="11"/>
  <c r="C44" i="11"/>
  <c r="C45" i="11"/>
  <c r="C50" i="11"/>
  <c r="E50" i="11"/>
  <c r="C54" i="11"/>
  <c r="E54" i="11"/>
  <c r="B54" i="10"/>
  <c r="B33" i="10"/>
  <c r="C33" i="10"/>
  <c r="E33" i="10"/>
  <c r="C45" i="10"/>
  <c r="C50" i="10"/>
  <c r="C51" i="10" s="1"/>
  <c r="E50" i="10"/>
  <c r="C54" i="10"/>
  <c r="E54" i="10"/>
  <c r="D33" i="10"/>
  <c r="D50" i="10"/>
  <c r="D54" i="10"/>
  <c r="B50" i="10" l="1"/>
  <c r="D66" i="10"/>
  <c r="C65" i="10"/>
  <c r="C62" i="10"/>
  <c r="B70" i="10"/>
  <c r="C44" i="10"/>
  <c r="C62" i="8"/>
  <c r="D41" i="10"/>
  <c r="C12" i="8"/>
  <c r="D17" i="10"/>
  <c r="D17" i="11"/>
  <c r="D51" i="10"/>
  <c r="D57" i="10"/>
  <c r="D12" i="8"/>
  <c r="C46" i="10"/>
  <c r="D51" i="11"/>
  <c r="C51" i="11"/>
  <c r="C46" i="11"/>
  <c r="C64" i="11" s="1"/>
  <c r="C35" i="11"/>
  <c r="B70" i="11"/>
  <c r="B54" i="11"/>
  <c r="B50" i="11"/>
  <c r="B33" i="11"/>
  <c r="D35" i="11"/>
  <c r="D35" i="10"/>
  <c r="C35" i="10"/>
  <c r="D65" i="10" l="1"/>
  <c r="C64" i="10"/>
  <c r="C57" i="8"/>
  <c r="C66" i="8"/>
  <c r="C63" i="8"/>
  <c r="D63" i="8"/>
  <c r="D66" i="8"/>
  <c r="D11" i="4"/>
  <c r="D23" i="11"/>
  <c r="D45" i="11"/>
  <c r="D23" i="10"/>
  <c r="D45" i="10"/>
  <c r="D11" i="8"/>
  <c r="B11" i="8" s="1"/>
  <c r="B40" i="8" s="1"/>
  <c r="B11" i="7"/>
  <c r="D11" i="11"/>
  <c r="D65" i="11" s="1"/>
  <c r="D11" i="10"/>
  <c r="D62" i="10" s="1"/>
  <c r="C23" i="9"/>
  <c r="D23" i="9"/>
  <c r="E23" i="9"/>
  <c r="B19" i="9"/>
  <c r="B18" i="9"/>
  <c r="B16" i="9"/>
  <c r="B32" i="9" s="1"/>
  <c r="B13" i="9"/>
  <c r="B11" i="9"/>
  <c r="B10" i="9"/>
  <c r="D57" i="8"/>
  <c r="E54" i="8"/>
  <c r="D54" i="8"/>
  <c r="C54" i="8"/>
  <c r="E50" i="8"/>
  <c r="D50" i="8"/>
  <c r="C50" i="8"/>
  <c r="D49" i="8"/>
  <c r="C49" i="8"/>
  <c r="D45" i="8"/>
  <c r="C45" i="8"/>
  <c r="D44" i="8"/>
  <c r="C44" i="8"/>
  <c r="D41" i="8"/>
  <c r="C41" i="8"/>
  <c r="E40" i="8"/>
  <c r="C40" i="8"/>
  <c r="E33" i="8"/>
  <c r="D33" i="8"/>
  <c r="D35" i="8" s="1"/>
  <c r="C33" i="8"/>
  <c r="C35" i="8" s="1"/>
  <c r="D23" i="8"/>
  <c r="C23" i="8"/>
  <c r="B19" i="8"/>
  <c r="B18" i="8"/>
  <c r="B13" i="8"/>
  <c r="D62" i="4" l="1"/>
  <c r="D65" i="4"/>
  <c r="D62" i="11"/>
  <c r="D40" i="8"/>
  <c r="D62" i="8"/>
  <c r="B70" i="8"/>
  <c r="D65" i="8"/>
  <c r="B33" i="9"/>
  <c r="B20" i="9"/>
  <c r="D46" i="8"/>
  <c r="C51" i="8"/>
  <c r="B17" i="9"/>
  <c r="C46" i="8"/>
  <c r="C64" i="8" s="1"/>
  <c r="B58" i="9"/>
  <c r="D51" i="8"/>
  <c r="B11" i="10"/>
  <c r="D44" i="10"/>
  <c r="D46" i="10" s="1"/>
  <c r="D64" i="10" s="1"/>
  <c r="D40" i="10"/>
  <c r="D44" i="11"/>
  <c r="D46" i="11" s="1"/>
  <c r="D40" i="11"/>
  <c r="B11" i="11"/>
  <c r="B33" i="8"/>
  <c r="B50" i="8"/>
  <c r="B54" i="8"/>
  <c r="B23" i="9" l="1"/>
  <c r="B65" i="9"/>
  <c r="B62" i="9"/>
  <c r="D64" i="11"/>
  <c r="E12" i="11"/>
  <c r="D64" i="8"/>
  <c r="B40" i="11"/>
  <c r="B40" i="10"/>
  <c r="E49" i="11" l="1"/>
  <c r="E51" i="11" s="1"/>
  <c r="E66" i="11"/>
  <c r="E63" i="11"/>
  <c r="E12" i="10"/>
  <c r="B12" i="9"/>
  <c r="E57" i="11"/>
  <c r="B12" i="11"/>
  <c r="E41" i="11"/>
  <c r="E44" i="11"/>
  <c r="E35" i="11"/>
  <c r="E54" i="7"/>
  <c r="D54" i="7"/>
  <c r="C54" i="7"/>
  <c r="E50" i="7"/>
  <c r="D50" i="7"/>
  <c r="C50" i="7"/>
  <c r="D45" i="7"/>
  <c r="C45" i="7"/>
  <c r="E44" i="7"/>
  <c r="D44" i="7"/>
  <c r="D46" i="7" s="1"/>
  <c r="C44" i="7"/>
  <c r="E41" i="7"/>
  <c r="D41" i="7"/>
  <c r="C41" i="7"/>
  <c r="E40" i="7"/>
  <c r="D40" i="7"/>
  <c r="C40" i="7"/>
  <c r="E33" i="7"/>
  <c r="D33" i="7"/>
  <c r="C33" i="7"/>
  <c r="D23" i="7"/>
  <c r="C23" i="7"/>
  <c r="B18" i="7"/>
  <c r="B12" i="7"/>
  <c r="B49" i="7" s="1"/>
  <c r="B40" i="7"/>
  <c r="E57" i="7"/>
  <c r="D57" i="7"/>
  <c r="C57" i="7"/>
  <c r="B10" i="7"/>
  <c r="E54" i="9"/>
  <c r="D54" i="9"/>
  <c r="C54" i="9"/>
  <c r="E50" i="9"/>
  <c r="D50" i="9"/>
  <c r="C50" i="9"/>
  <c r="E51" i="9"/>
  <c r="C51" i="9"/>
  <c r="D45" i="9"/>
  <c r="C45" i="9"/>
  <c r="E44" i="9"/>
  <c r="D44" i="9"/>
  <c r="C44" i="9"/>
  <c r="E41" i="9"/>
  <c r="D41" i="9"/>
  <c r="C41" i="9"/>
  <c r="E40" i="9"/>
  <c r="D40" i="9"/>
  <c r="C40" i="9"/>
  <c r="E35" i="9"/>
  <c r="D35" i="9"/>
  <c r="C35" i="9"/>
  <c r="B70" i="9"/>
  <c r="B40" i="9"/>
  <c r="E57" i="9"/>
  <c r="D57" i="9"/>
  <c r="C57" i="9"/>
  <c r="E57" i="6"/>
  <c r="C57" i="6"/>
  <c r="E54" i="6"/>
  <c r="D54" i="6"/>
  <c r="C54" i="6"/>
  <c r="E50" i="6"/>
  <c r="D50" i="6"/>
  <c r="C50" i="6"/>
  <c r="D45" i="6"/>
  <c r="C45" i="6"/>
  <c r="E44" i="6"/>
  <c r="D44" i="6"/>
  <c r="C44" i="6"/>
  <c r="E41" i="6"/>
  <c r="D41" i="6"/>
  <c r="C41" i="6"/>
  <c r="E40" i="6"/>
  <c r="D40" i="6"/>
  <c r="C40" i="6"/>
  <c r="E33" i="6"/>
  <c r="D33" i="6"/>
  <c r="C33" i="6"/>
  <c r="D23" i="6"/>
  <c r="C23" i="6"/>
  <c r="B19" i="6"/>
  <c r="B18" i="6"/>
  <c r="E16" i="6"/>
  <c r="D16" i="6"/>
  <c r="C16" i="6"/>
  <c r="B13" i="6"/>
  <c r="B12" i="6"/>
  <c r="B11" i="6"/>
  <c r="B40" i="6" s="1"/>
  <c r="D57" i="6"/>
  <c r="B10" i="6"/>
  <c r="B49" i="6" l="1"/>
  <c r="B49" i="9"/>
  <c r="B66" i="9"/>
  <c r="B63" i="9"/>
  <c r="B66" i="6"/>
  <c r="B63" i="6"/>
  <c r="B49" i="11"/>
  <c r="B66" i="11"/>
  <c r="B63" i="11"/>
  <c r="E49" i="10"/>
  <c r="E51" i="10" s="1"/>
  <c r="E66" i="10"/>
  <c r="E63" i="10"/>
  <c r="C46" i="7"/>
  <c r="C46" i="6"/>
  <c r="C64" i="6" s="1"/>
  <c r="E12" i="8"/>
  <c r="B70" i="6"/>
  <c r="B20" i="6"/>
  <c r="B70" i="7"/>
  <c r="B20" i="7"/>
  <c r="B51" i="11"/>
  <c r="B41" i="11"/>
  <c r="B57" i="11"/>
  <c r="B35" i="11"/>
  <c r="B44" i="11"/>
  <c r="E44" i="10"/>
  <c r="E57" i="10"/>
  <c r="E35" i="10"/>
  <c r="B12" i="10"/>
  <c r="E41" i="10"/>
  <c r="C51" i="7"/>
  <c r="E51" i="7"/>
  <c r="D46" i="9"/>
  <c r="D64" i="9" s="1"/>
  <c r="D46" i="6"/>
  <c r="D64" i="6" s="1"/>
  <c r="E51" i="6"/>
  <c r="D51" i="6"/>
  <c r="C51" i="6"/>
  <c r="C46" i="9"/>
  <c r="C64" i="9" s="1"/>
  <c r="B16" i="6"/>
  <c r="B32" i="6" s="1"/>
  <c r="C16" i="11"/>
  <c r="C16" i="8"/>
  <c r="C16" i="10"/>
  <c r="E16" i="10"/>
  <c r="E32" i="10" s="1"/>
  <c r="E16" i="11"/>
  <c r="E32" i="11" s="1"/>
  <c r="E16" i="8"/>
  <c r="E32" i="8" s="1"/>
  <c r="C35" i="6"/>
  <c r="E35" i="6"/>
  <c r="D16" i="11"/>
  <c r="D32" i="11" s="1"/>
  <c r="D16" i="8"/>
  <c r="D32" i="8" s="1"/>
  <c r="D16" i="10"/>
  <c r="D32" i="10" s="1"/>
  <c r="B17" i="6"/>
  <c r="E17" i="11"/>
  <c r="E17" i="10"/>
  <c r="D35" i="6"/>
  <c r="B34" i="6"/>
  <c r="B57" i="6"/>
  <c r="C35" i="7"/>
  <c r="E35" i="7"/>
  <c r="D35" i="7"/>
  <c r="B57" i="7"/>
  <c r="D51" i="7"/>
  <c r="D51" i="9"/>
  <c r="B16" i="7"/>
  <c r="B32" i="7" s="1"/>
  <c r="B34" i="7" s="1"/>
  <c r="B17" i="7"/>
  <c r="B45" i="7" s="1"/>
  <c r="D32" i="7"/>
  <c r="D34" i="7" s="1"/>
  <c r="B33" i="7"/>
  <c r="B41" i="7"/>
  <c r="B44" i="7"/>
  <c r="B50" i="7"/>
  <c r="B54" i="7"/>
  <c r="E23" i="7"/>
  <c r="C32" i="7"/>
  <c r="C34" i="7" s="1"/>
  <c r="E32" i="7"/>
  <c r="E34" i="7" s="1"/>
  <c r="E45" i="7"/>
  <c r="E46" i="7" s="1"/>
  <c r="B57" i="9"/>
  <c r="B69" i="9"/>
  <c r="B41" i="9"/>
  <c r="B44" i="9"/>
  <c r="B45" i="9"/>
  <c r="B50" i="9"/>
  <c r="B54" i="9"/>
  <c r="B34" i="9"/>
  <c r="E45" i="9"/>
  <c r="E46" i="9" s="1"/>
  <c r="E64" i="9" s="1"/>
  <c r="E23" i="6"/>
  <c r="C32" i="6"/>
  <c r="C34" i="6" s="1"/>
  <c r="C59" i="6" s="1"/>
  <c r="E32" i="6"/>
  <c r="E34" i="6" s="1"/>
  <c r="E59" i="6" s="1"/>
  <c r="E45" i="6"/>
  <c r="E46" i="6" s="1"/>
  <c r="E64" i="6" s="1"/>
  <c r="D32" i="6"/>
  <c r="D34" i="6" s="1"/>
  <c r="D59" i="6" s="1"/>
  <c r="B33" i="6"/>
  <c r="B41" i="6"/>
  <c r="B44" i="6"/>
  <c r="B50" i="6"/>
  <c r="B54" i="6"/>
  <c r="B65" i="6" l="1"/>
  <c r="B62" i="6"/>
  <c r="E62" i="11"/>
  <c r="E64" i="11" s="1"/>
  <c r="E65" i="11"/>
  <c r="E65" i="10"/>
  <c r="E62" i="10"/>
  <c r="E64" i="10" s="1"/>
  <c r="B49" i="10"/>
  <c r="B51" i="10" s="1"/>
  <c r="B63" i="10"/>
  <c r="B66" i="10"/>
  <c r="C59" i="7"/>
  <c r="E59" i="7"/>
  <c r="E62" i="8"/>
  <c r="E65" i="8"/>
  <c r="E66" i="8"/>
  <c r="E63" i="8"/>
  <c r="B41" i="10"/>
  <c r="B35" i="10"/>
  <c r="B57" i="10"/>
  <c r="B44" i="10"/>
  <c r="B12" i="8"/>
  <c r="E49" i="8"/>
  <c r="E51" i="8" s="1"/>
  <c r="E41" i="8"/>
  <c r="E44" i="8"/>
  <c r="E57" i="8"/>
  <c r="E35" i="8"/>
  <c r="B45" i="6"/>
  <c r="B46" i="6" s="1"/>
  <c r="B23" i="6"/>
  <c r="B69" i="6" s="1"/>
  <c r="B35" i="6"/>
  <c r="B58" i="6"/>
  <c r="D58" i="6"/>
  <c r="E23" i="10"/>
  <c r="E45" i="10"/>
  <c r="E46" i="10" s="1"/>
  <c r="B17" i="10"/>
  <c r="B17" i="11"/>
  <c r="E45" i="11"/>
  <c r="E46" i="11" s="1"/>
  <c r="E23" i="11"/>
  <c r="D34" i="10"/>
  <c r="D59" i="10" s="1"/>
  <c r="D58" i="10"/>
  <c r="D34" i="11"/>
  <c r="D59" i="11" s="1"/>
  <c r="D58" i="11"/>
  <c r="E34" i="11"/>
  <c r="E59" i="11" s="1"/>
  <c r="E58" i="11"/>
  <c r="B16" i="10"/>
  <c r="B32" i="10" s="1"/>
  <c r="C32" i="10"/>
  <c r="C32" i="11"/>
  <c r="B16" i="11"/>
  <c r="B32" i="11" s="1"/>
  <c r="B17" i="8"/>
  <c r="E45" i="8"/>
  <c r="E23" i="8"/>
  <c r="D34" i="8"/>
  <c r="D59" i="8" s="1"/>
  <c r="D58" i="8"/>
  <c r="E58" i="6"/>
  <c r="C58" i="6"/>
  <c r="E34" i="8"/>
  <c r="E59" i="8" s="1"/>
  <c r="E58" i="8"/>
  <c r="E34" i="10"/>
  <c r="E59" i="10" s="1"/>
  <c r="E58" i="10"/>
  <c r="B16" i="8"/>
  <c r="B32" i="8" s="1"/>
  <c r="C32" i="8"/>
  <c r="B59" i="6"/>
  <c r="D59" i="7"/>
  <c r="D58" i="7"/>
  <c r="E58" i="7"/>
  <c r="C58" i="7"/>
  <c r="B35" i="7"/>
  <c r="B59" i="7" s="1"/>
  <c r="B58" i="7"/>
  <c r="B46" i="9"/>
  <c r="B64" i="9" s="1"/>
  <c r="E34" i="9"/>
  <c r="E59" i="9" s="1"/>
  <c r="E58" i="9"/>
  <c r="D34" i="9"/>
  <c r="D59" i="9" s="1"/>
  <c r="D58" i="9"/>
  <c r="C34" i="9"/>
  <c r="C59" i="9" s="1"/>
  <c r="C58" i="9"/>
  <c r="B35" i="9"/>
  <c r="B59" i="9" s="1"/>
  <c r="B51" i="7"/>
  <c r="B51" i="9"/>
  <c r="B46" i="7"/>
  <c r="B23" i="7"/>
  <c r="B69" i="7" s="1"/>
  <c r="B51" i="6"/>
  <c r="B62" i="10" l="1"/>
  <c r="B65" i="10"/>
  <c r="B64" i="6"/>
  <c r="B65" i="11"/>
  <c r="B62" i="11"/>
  <c r="E46" i="8"/>
  <c r="E64" i="8" s="1"/>
  <c r="B65" i="8"/>
  <c r="B62" i="8"/>
  <c r="B66" i="8"/>
  <c r="B63" i="8"/>
  <c r="B57" i="8"/>
  <c r="B49" i="8"/>
  <c r="B51" i="8" s="1"/>
  <c r="B44" i="8"/>
  <c r="B41" i="8"/>
  <c r="B35" i="8"/>
  <c r="B34" i="8"/>
  <c r="B58" i="8"/>
  <c r="C34" i="11"/>
  <c r="C59" i="11" s="1"/>
  <c r="C58" i="11"/>
  <c r="B34" i="10"/>
  <c r="B59" i="10" s="1"/>
  <c r="B58" i="10"/>
  <c r="C34" i="8"/>
  <c r="C59" i="8" s="1"/>
  <c r="C58" i="8"/>
  <c r="B23" i="8"/>
  <c r="B69" i="8" s="1"/>
  <c r="B45" i="8"/>
  <c r="B46" i="8" s="1"/>
  <c r="B34" i="11"/>
  <c r="B59" i="11" s="1"/>
  <c r="B58" i="11"/>
  <c r="C34" i="10"/>
  <c r="C59" i="10" s="1"/>
  <c r="C58" i="10"/>
  <c r="B45" i="11"/>
  <c r="B46" i="11" s="1"/>
  <c r="B23" i="11"/>
  <c r="B69" i="11" s="1"/>
  <c r="B23" i="10"/>
  <c r="B69" i="10" s="1"/>
  <c r="B45" i="10"/>
  <c r="B46" i="10" s="1"/>
  <c r="E57" i="4"/>
  <c r="D57" i="4"/>
  <c r="C57" i="4"/>
  <c r="E54" i="4"/>
  <c r="D54" i="4"/>
  <c r="C54" i="4"/>
  <c r="E50" i="4"/>
  <c r="D50" i="4"/>
  <c r="C50" i="4"/>
  <c r="E45" i="4"/>
  <c r="D45" i="4"/>
  <c r="C45" i="4"/>
  <c r="E44" i="4"/>
  <c r="D44" i="4"/>
  <c r="D46" i="4" s="1"/>
  <c r="C44" i="4"/>
  <c r="E41" i="4"/>
  <c r="D41" i="4"/>
  <c r="C41" i="4"/>
  <c r="E40" i="4"/>
  <c r="D40" i="4"/>
  <c r="C40" i="4"/>
  <c r="E33" i="4"/>
  <c r="D33" i="4"/>
  <c r="C33" i="4"/>
  <c r="E32" i="4"/>
  <c r="E34" i="4" s="1"/>
  <c r="D32" i="4"/>
  <c r="D34" i="4" s="1"/>
  <c r="C32" i="4"/>
  <c r="C34" i="4" s="1"/>
  <c r="B19" i="4"/>
  <c r="B18" i="4"/>
  <c r="B17" i="4"/>
  <c r="B16" i="4"/>
  <c r="B32" i="4" s="1"/>
  <c r="B13" i="4"/>
  <c r="B12" i="4"/>
  <c r="B49" i="4" s="1"/>
  <c r="B11" i="4"/>
  <c r="B40" i="4" s="1"/>
  <c r="B10" i="4"/>
  <c r="B62" i="4" l="1"/>
  <c r="B65" i="4"/>
  <c r="B63" i="4"/>
  <c r="B66" i="4"/>
  <c r="B64" i="11"/>
  <c r="B64" i="10"/>
  <c r="E46" i="4"/>
  <c r="C46" i="4"/>
  <c r="C64" i="4" s="1"/>
  <c r="B64" i="8"/>
  <c r="B59" i="8"/>
  <c r="D51" i="4"/>
  <c r="B70" i="4"/>
  <c r="B20" i="4"/>
  <c r="E51" i="4"/>
  <c r="C51" i="4"/>
  <c r="D58" i="4"/>
  <c r="B57" i="4"/>
  <c r="B34" i="4"/>
  <c r="B54" i="4"/>
  <c r="C58" i="4"/>
  <c r="E58" i="4"/>
  <c r="E64" i="4"/>
  <c r="D64" i="4"/>
  <c r="B23" i="4"/>
  <c r="B69" i="4" s="1"/>
  <c r="C35" i="4"/>
  <c r="C59" i="4" s="1"/>
  <c r="E35" i="4"/>
  <c r="E59" i="4" s="1"/>
  <c r="B33" i="4"/>
  <c r="D35" i="4"/>
  <c r="D59" i="4" s="1"/>
  <c r="B41" i="4"/>
  <c r="B44" i="4"/>
  <c r="B45" i="4"/>
  <c r="B50" i="4"/>
  <c r="B51" i="4" l="1"/>
  <c r="B46" i="4"/>
  <c r="B64" i="4" s="1"/>
  <c r="B58" i="4"/>
  <c r="B35" i="4"/>
  <c r="B59" i="4" s="1"/>
</calcChain>
</file>

<file path=xl/comments1.xml><?xml version="1.0" encoding="utf-8"?>
<comments xmlns="http://schemas.openxmlformats.org/spreadsheetml/2006/main">
  <authors>
    <author>Diego Astorga</author>
  </authors>
  <commentList>
    <comment ref="A19" authorId="0" shapeId="0">
      <text>
        <r>
          <rPr>
            <b/>
            <sz val="9"/>
            <color indexed="81"/>
            <rFont val="Tahoma"/>
            <family val="2"/>
          </rPr>
          <t>Diego Astorga:</t>
        </r>
        <r>
          <rPr>
            <sz val="9"/>
            <color indexed="81"/>
            <rFont val="Tahoma"/>
            <family val="2"/>
          </rPr>
          <t xml:space="preserve">
Cambios en lo programado se hacen a partir de Setiembre pero se toman de referencia solo en el último trimestre.
También se agrega el presupuesto extraordinario que se aprobó en Setiembre
</t>
        </r>
      </text>
    </comment>
  </commentList>
</comments>
</file>

<file path=xl/comments2.xml><?xml version="1.0" encoding="utf-8"?>
<comments xmlns="http://schemas.openxmlformats.org/spreadsheetml/2006/main">
  <authors>
    <author>Diego Astorga</author>
  </authors>
  <commentList>
    <comment ref="A9" authorId="0" shapeId="0">
      <text>
        <r>
          <rPr>
            <b/>
            <sz val="9"/>
            <color indexed="81"/>
            <rFont val="Tahoma"/>
            <family val="2"/>
          </rPr>
          <t>Diego Astorga:</t>
        </r>
        <r>
          <rPr>
            <sz val="9"/>
            <color indexed="81"/>
            <rFont val="Tahoma"/>
            <family val="2"/>
          </rPr>
          <t xml:space="preserve">
Como solo se reportan en los informes, los beneficiarios nuevos que ingresan, el total de beneficiarios del segundo trimestre sería la suma de los nuevos que ingresaron en los seis meses anteriores, y este número sería igual al número de benficiarios del Primer Semestre.</t>
        </r>
      </text>
    </comment>
  </commentList>
</comments>
</file>

<file path=xl/comments3.xml><?xml version="1.0" encoding="utf-8"?>
<comments xmlns="http://schemas.openxmlformats.org/spreadsheetml/2006/main">
  <authors>
    <author>Diego Astorga</author>
  </authors>
  <commentList>
    <comment ref="A9" authorId="0" shapeId="0">
      <text>
        <r>
          <rPr>
            <b/>
            <sz val="9"/>
            <color indexed="81"/>
            <rFont val="Tahoma"/>
            <family val="2"/>
          </rPr>
          <t>Diego Astorga:</t>
        </r>
        <r>
          <rPr>
            <sz val="9"/>
            <color indexed="81"/>
            <rFont val="Tahoma"/>
            <family val="2"/>
          </rPr>
          <t xml:space="preserve">
Como solo se reportan en los informes, los beneficiarios nuevos que ingresan, el total de beneficiarios del tercer trimestre sería la suma de los nuevos que ingresaron en los nueve meses anteriores, y este número sería igual al número de benficiarios del 3 Trimestre Acumulado.</t>
        </r>
      </text>
    </comment>
  </commentList>
</comments>
</file>

<file path=xl/comments4.xml><?xml version="1.0" encoding="utf-8"?>
<comments xmlns="http://schemas.openxmlformats.org/spreadsheetml/2006/main">
  <authors>
    <author>Diego Astorga</author>
  </authors>
  <commentList>
    <comment ref="A9" authorId="0" shapeId="0">
      <text>
        <r>
          <rPr>
            <b/>
            <sz val="9"/>
            <color indexed="81"/>
            <rFont val="Tahoma"/>
            <family val="2"/>
          </rPr>
          <t>Diego Astorga:</t>
        </r>
        <r>
          <rPr>
            <sz val="9"/>
            <color indexed="81"/>
            <rFont val="Tahoma"/>
            <family val="2"/>
          </rPr>
          <t xml:space="preserve">
Como solo se reportan en los informes, los beneficiarios nuevos que ingresan, el total de beneficiarios del cuarto trimestre sería la suma de los nuevos que ingresaron en los doce meses anteriores, y este número sería igual al número de benficiarios del año en total.</t>
        </r>
      </text>
    </comment>
  </commentList>
</comments>
</file>

<file path=xl/sharedStrings.xml><?xml version="1.0" encoding="utf-8"?>
<sst xmlns="http://schemas.openxmlformats.org/spreadsheetml/2006/main" count="489" uniqueCount="131">
  <si>
    <t>Indicador</t>
  </si>
  <si>
    <t>Total</t>
  </si>
  <si>
    <t>Productos</t>
  </si>
  <si>
    <t>programa</t>
  </si>
  <si>
    <t>Servicios</t>
  </si>
  <si>
    <t>Ayudas Téc</t>
  </si>
  <si>
    <t>Insumos</t>
  </si>
  <si>
    <t xml:space="preserve">Beneficiarios </t>
  </si>
  <si>
    <t>Efectivos 1T 2010</t>
  </si>
  <si>
    <t>Programados 1T 2011</t>
  </si>
  <si>
    <t>Efectivos 1T 2011</t>
  </si>
  <si>
    <t>Programados año 2011</t>
  </si>
  <si>
    <t>Gasto FODESAF</t>
  </si>
  <si>
    <t>En transferencias 1T 2011</t>
  </si>
  <si>
    <t>Ingresos FODESAF</t>
  </si>
  <si>
    <t>Otros insumos</t>
  </si>
  <si>
    <t>IPC (1T 2010)</t>
  </si>
  <si>
    <t>IPC (1T 2011)</t>
  </si>
  <si>
    <t>Población objetivo</t>
  </si>
  <si>
    <t>Cálculos intermedios</t>
  </si>
  <si>
    <t>Gasto efectivo real 1T 2010</t>
  </si>
  <si>
    <t>Gasto efectivo real 1T 2011</t>
  </si>
  <si>
    <t>Gasto efectivo real por beneficiario 1T 2010</t>
  </si>
  <si>
    <t>Gasto efectivo real por beneficiario 1T 2011</t>
  </si>
  <si>
    <t>Indicadores</t>
  </si>
  <si>
    <t>De Cobertura Potencial</t>
  </si>
  <si>
    <t>Cobertura Programada</t>
  </si>
  <si>
    <t>Cobertura Efectiva</t>
  </si>
  <si>
    <t>De resultado</t>
  </si>
  <si>
    <t>Índice efectividad en beneficiarios (IEB)</t>
  </si>
  <si>
    <t xml:space="preserve">Índice efectividad en gasto (IEG) </t>
  </si>
  <si>
    <t>Índice efectividad total (IET)</t>
  </si>
  <si>
    <t xml:space="preserve">De avance </t>
  </si>
  <si>
    <t xml:space="preserve">Índice avance beneficiarios (IAB) </t>
  </si>
  <si>
    <t>Índice avance gasto (IAG)</t>
  </si>
  <si>
    <t xml:space="preserve">Índice avance total (IAT) </t>
  </si>
  <si>
    <t>Índice transferencia efectiva del gasto (ITG)</t>
  </si>
  <si>
    <t>De expansión</t>
  </si>
  <si>
    <t xml:space="preserve">Índice de crecimiento beneficiarios (ICB) </t>
  </si>
  <si>
    <t xml:space="preserve">Índice de crecimiento del gasto real (ICGR) </t>
  </si>
  <si>
    <t xml:space="preserve">Índice de crecimiento del gasto real por beneficiario (ICGRB) </t>
  </si>
  <si>
    <t>De gasto medio</t>
  </si>
  <si>
    <t xml:space="preserve">Índice de eficiencia (IE) </t>
  </si>
  <si>
    <t>De giro de recursos</t>
  </si>
  <si>
    <t>Índice de giro efectivo (IGE)</t>
  </si>
  <si>
    <t xml:space="preserve">Índice de uso de recursos (IUR) </t>
  </si>
  <si>
    <t>Alternat. Residenciales</t>
  </si>
  <si>
    <t>Efectivos 2T 2010</t>
  </si>
  <si>
    <t>Programados 2T 2011</t>
  </si>
  <si>
    <t>Efectivos 2T 2011</t>
  </si>
  <si>
    <t>En transferencias 2T 2011</t>
  </si>
  <si>
    <t>IPC (2T 2010)</t>
  </si>
  <si>
    <t>IPC (2T 2011)</t>
  </si>
  <si>
    <t>Gasto efectivo real 2T 2010</t>
  </si>
  <si>
    <t>Gasto efectivo real 2T 2011</t>
  </si>
  <si>
    <t>Gasto efectivo real por beneficiario 2T 2010</t>
  </si>
  <si>
    <t>Gasto efectivo real por beneficiario 2T 2011</t>
  </si>
  <si>
    <t>Fuentes:</t>
  </si>
  <si>
    <t>Informe de Liquidación, período 2010. Departamento de Evaluación, Control y Seguimiento. FODESAF</t>
  </si>
  <si>
    <t>CNREE, Presupuesto Ordinario 2009-2011   (excel)</t>
  </si>
  <si>
    <t>Guía de Análisis de Formulación, Programación 2011. Programa Pobreza y Discapacidad CNREE. Departamento de Evaluación FODESAF</t>
  </si>
  <si>
    <t>Efectivos 3T 2010</t>
  </si>
  <si>
    <t>Programados 3T 2011</t>
  </si>
  <si>
    <t>Efectivos 3T 2011</t>
  </si>
  <si>
    <t>En transferencias 3T 2011</t>
  </si>
  <si>
    <t>IPC (3T 2010)</t>
  </si>
  <si>
    <t>IPC (3T 2011)</t>
  </si>
  <si>
    <t>Gasto efectivo real 3T 2010</t>
  </si>
  <si>
    <t>Gasto efectivo real 3T 2011</t>
  </si>
  <si>
    <t>Gasto efectivo real por beneficiario 3T 2010</t>
  </si>
  <si>
    <t>Gasto efectivo real por beneficiario 3T 2011</t>
  </si>
  <si>
    <t>Efectivos 4T 2010</t>
  </si>
  <si>
    <t>Programados 4T 2011</t>
  </si>
  <si>
    <t>Efectivos 4T 2011</t>
  </si>
  <si>
    <t>En transferencias 4T 2011</t>
  </si>
  <si>
    <t>IPC (4T 2010)</t>
  </si>
  <si>
    <t>IPC (4T 2011)</t>
  </si>
  <si>
    <t>Gasto efectivo real 4T 2010</t>
  </si>
  <si>
    <t>Gasto efectivo real 4T 2011</t>
  </si>
  <si>
    <t>Gasto efectivo real por beneficiario 4T 2010</t>
  </si>
  <si>
    <t>Gasto efectivo real por beneficiario 4T 2011</t>
  </si>
  <si>
    <t>Efectivos  2010</t>
  </si>
  <si>
    <t>Programados  2011</t>
  </si>
  <si>
    <t>Efectivos  2011</t>
  </si>
  <si>
    <t>En transferencias  2011</t>
  </si>
  <si>
    <t>IPC ( 2010)</t>
  </si>
  <si>
    <t>IPC ( 2011)</t>
  </si>
  <si>
    <t>Gasto efectivo real  2010</t>
  </si>
  <si>
    <t>Gasto efectivo real  2011</t>
  </si>
  <si>
    <t>Gasto efectivo real por beneficiario  2010</t>
  </si>
  <si>
    <t>Gasto efectivo real por beneficiario  2011</t>
  </si>
  <si>
    <t>Efectivos 3TA 2010</t>
  </si>
  <si>
    <t>Programados 3TA 2011</t>
  </si>
  <si>
    <t>Efectivos 3TA 2011</t>
  </si>
  <si>
    <t>En transferencias 3TA 2011</t>
  </si>
  <si>
    <t>IPC (3TA 2010)</t>
  </si>
  <si>
    <t>IPC (3TA 2011)</t>
  </si>
  <si>
    <t>Gasto efectivo real 3TA 2010</t>
  </si>
  <si>
    <t>Gasto efectivo real 3TA 2011</t>
  </si>
  <si>
    <t>Gasto efectivo real por beneficiario 3TA 2010</t>
  </si>
  <si>
    <t>Gasto efectivo real por beneficiario 3TA 2011</t>
  </si>
  <si>
    <t>De composición</t>
  </si>
  <si>
    <t>De Composición</t>
  </si>
  <si>
    <t>CNREE Informes trimestrales 2011</t>
  </si>
  <si>
    <t>Total Programa</t>
  </si>
  <si>
    <t>Ayudas Técnicas</t>
  </si>
  <si>
    <t>Notas:</t>
  </si>
  <si>
    <t>Los beneficiarios se miden como la cantidad de individuos distintos atendidos en el período.</t>
  </si>
  <si>
    <t xml:space="preserve">Gasto programado acumulado por beneficiario (GPB) </t>
  </si>
  <si>
    <t xml:space="preserve">Gasto efectivo acumulado por beneficiario (GEB) </t>
  </si>
  <si>
    <t xml:space="preserve">Gasto programado mensual por beneficiario (GPB) </t>
  </si>
  <si>
    <t xml:space="preserve">Gasto efectivo mensual por beneficiario (GEB) </t>
  </si>
  <si>
    <t>Indicadores aplicados a CNREE Primer trimestre 2011</t>
  </si>
  <si>
    <t>Indicadores aplicados a CNREE Tercer trimestre 2011</t>
  </si>
  <si>
    <t>Modificaciones presupuestarias o de metas retroactivas no se toman en cuenta para evaluación del programa.</t>
  </si>
  <si>
    <t>Indicadores aplicados a CNREE Segundo trimestre 2011</t>
  </si>
  <si>
    <t>Indicadores aplicados a CNREE Cuarto trimestre 2011</t>
  </si>
  <si>
    <t>Indicadores aplicados a CNREE. Primer Semestre 2011</t>
  </si>
  <si>
    <t>Indicadores aplicados a CNREE. Tercer Trimestre Acumulado 2011</t>
  </si>
  <si>
    <t>Indicadores aplicados a CNREE. Año 2011</t>
  </si>
  <si>
    <t>Población objetivo:</t>
  </si>
  <si>
    <t>Acceso a servicios: personas pobres de 18 a 64 años con alguna discapacidad permanente no mental.</t>
  </si>
  <si>
    <t>Abandono: personas pobres de 18 a 64 años con discapacidad severa no mental.</t>
  </si>
  <si>
    <r>
      <t>Los beneficiarios se miden como la cantidad de individuos distintos atendidos en el período.</t>
    </r>
    <r>
      <rPr>
        <sz val="11"/>
        <color rgb="FFFF0000"/>
        <rFont val="Calibri"/>
        <family val="2"/>
        <scheme val="minor"/>
      </rPr>
      <t xml:space="preserve"> </t>
    </r>
  </si>
  <si>
    <t>Programa</t>
  </si>
  <si>
    <t xml:space="preserve">Gasto mensual programado por beneficiario (GPB) </t>
  </si>
  <si>
    <t xml:space="preserve">Gasto mensual efectivo por beneficiario (GEB) </t>
  </si>
  <si>
    <t xml:space="preserve">Gasto trimestral programado por beneficiario (GPB) </t>
  </si>
  <si>
    <t xml:space="preserve">Gasto trimestral efectivo por beneficiario (GEB) </t>
  </si>
  <si>
    <t xml:space="preserve">Gasto acumulado programado por beneficiario (GPB) </t>
  </si>
  <si>
    <t xml:space="preserve">Gasto acumulado efectivo por beneficiario (GEB)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</si>
</sst>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6"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color rgb="FFFF0000"/>
      <name val="Calibri"/>
      <family val="2"/>
      <scheme val="minor"/>
    </font>
    <font>
      <sz val="11"/>
      <color theme="1"/>
      <name val="Calibri"/>
      <family val="2"/>
      <scheme val="minor"/>
    </font>
  </fonts>
  <fills count="2">
    <fill>
      <patternFill patternType="none"/>
    </fill>
    <fill>
      <patternFill patternType="gray125"/>
    </fill>
  </fills>
  <borders count="4">
    <border>
      <left/>
      <right/>
      <top/>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5" fillId="0" borderId="0" applyFont="0" applyFill="0" applyBorder="0" applyAlignment="0" applyProtection="0"/>
  </cellStyleXfs>
  <cellXfs count="37">
    <xf numFmtId="0" fontId="0" fillId="0" borderId="0" xfId="0"/>
    <xf numFmtId="4" fontId="0" fillId="0" borderId="0" xfId="0" applyNumberFormat="1"/>
    <xf numFmtId="4" fontId="0" fillId="0" borderId="1" xfId="0" applyNumberFormat="1" applyBorder="1" applyAlignment="1">
      <alignment horizontal="center"/>
    </xf>
    <xf numFmtId="4" fontId="0" fillId="0" borderId="3" xfId="0" applyNumberFormat="1" applyBorder="1" applyAlignment="1">
      <alignment horizontal="center"/>
    </xf>
    <xf numFmtId="4" fontId="1" fillId="0" borderId="0" xfId="0" applyNumberFormat="1" applyFont="1"/>
    <xf numFmtId="4" fontId="0" fillId="0" borderId="3" xfId="0" applyNumberFormat="1" applyBorder="1"/>
    <xf numFmtId="3" fontId="0" fillId="0" borderId="0" xfId="0" applyNumberFormat="1" applyFill="1"/>
    <xf numFmtId="3" fontId="0" fillId="0" borderId="0" xfId="0" applyNumberFormat="1"/>
    <xf numFmtId="4" fontId="0" fillId="0" borderId="0" xfId="0" applyNumberFormat="1" applyAlignment="1">
      <alignment horizontal="left" indent="3"/>
    </xf>
    <xf numFmtId="164" fontId="0" fillId="0" borderId="0" xfId="1" applyNumberFormat="1" applyFont="1"/>
    <xf numFmtId="164" fontId="0" fillId="0" borderId="1" xfId="1" applyNumberFormat="1" applyFont="1" applyBorder="1" applyAlignment="1">
      <alignment horizontal="center"/>
    </xf>
    <xf numFmtId="164" fontId="0" fillId="0" borderId="3" xfId="1" applyNumberFormat="1" applyFont="1" applyBorder="1" applyAlignment="1">
      <alignment horizontal="center"/>
    </xf>
    <xf numFmtId="164" fontId="0" fillId="0" borderId="0" xfId="1" applyNumberFormat="1" applyFont="1" applyBorder="1"/>
    <xf numFmtId="164" fontId="1" fillId="0" borderId="0" xfId="1" applyNumberFormat="1" applyFont="1"/>
    <xf numFmtId="164" fontId="0" fillId="0" borderId="0" xfId="1" applyNumberFormat="1" applyFont="1" applyFill="1"/>
    <xf numFmtId="164" fontId="0" fillId="0" borderId="3" xfId="1" applyNumberFormat="1" applyFont="1" applyBorder="1"/>
    <xf numFmtId="164" fontId="0" fillId="0" borderId="0" xfId="1" applyNumberFormat="1" applyFont="1" applyAlignment="1">
      <alignment horizontal="left" indent="3"/>
    </xf>
    <xf numFmtId="3" fontId="0" fillId="0" borderId="1" xfId="0" applyNumberFormat="1" applyBorder="1" applyAlignment="1">
      <alignment horizontal="center"/>
    </xf>
    <xf numFmtId="3" fontId="0" fillId="0" borderId="3" xfId="0" applyNumberFormat="1" applyBorder="1" applyAlignment="1">
      <alignment horizontal="center"/>
    </xf>
    <xf numFmtId="3" fontId="1" fillId="0" borderId="0" xfId="0" applyNumberFormat="1" applyFont="1"/>
    <xf numFmtId="3" fontId="0" fillId="0" borderId="3" xfId="0" applyNumberFormat="1" applyBorder="1"/>
    <xf numFmtId="3" fontId="0" fillId="0" borderId="0" xfId="0" applyNumberFormat="1" applyBorder="1"/>
    <xf numFmtId="3" fontId="0" fillId="0" borderId="0" xfId="0" applyNumberFormat="1" applyAlignment="1">
      <alignment horizontal="left" indent="3"/>
    </xf>
    <xf numFmtId="43" fontId="0" fillId="0" borderId="0" xfId="1" applyNumberFormat="1" applyFont="1"/>
    <xf numFmtId="43" fontId="0" fillId="0" borderId="3" xfId="1" applyNumberFormat="1" applyFont="1" applyBorder="1"/>
    <xf numFmtId="164" fontId="0" fillId="0" borderId="1" xfId="1" applyNumberFormat="1" applyFont="1" applyBorder="1" applyAlignment="1">
      <alignment horizontal="center" vertical="center"/>
    </xf>
    <xf numFmtId="164" fontId="0" fillId="0" borderId="3" xfId="1" applyNumberFormat="1" applyFont="1" applyBorder="1" applyAlignment="1">
      <alignment horizontal="center" vertical="center"/>
    </xf>
    <xf numFmtId="164" fontId="0" fillId="0" borderId="2" xfId="1" applyNumberFormat="1" applyFont="1" applyBorder="1" applyAlignment="1">
      <alignment horizontal="center"/>
    </xf>
    <xf numFmtId="164" fontId="1" fillId="0" borderId="0" xfId="1" applyNumberFormat="1" applyFont="1" applyAlignment="1">
      <alignment horizontal="center"/>
    </xf>
    <xf numFmtId="4" fontId="1" fillId="0" borderId="0" xfId="0" applyNumberFormat="1" applyFont="1" applyAlignment="1">
      <alignment horizontal="center"/>
    </xf>
    <xf numFmtId="4" fontId="0" fillId="0" borderId="1" xfId="0" applyNumberFormat="1" applyBorder="1" applyAlignment="1">
      <alignment horizontal="center" vertical="center"/>
    </xf>
    <xf numFmtId="4" fontId="0" fillId="0" borderId="3" xfId="0" applyNumberFormat="1" applyBorder="1" applyAlignment="1">
      <alignment horizontal="center" vertical="center"/>
    </xf>
    <xf numFmtId="4" fontId="0" fillId="0" borderId="2" xfId="0" applyNumberFormat="1" applyBorder="1" applyAlignment="1">
      <alignment horizontal="center"/>
    </xf>
    <xf numFmtId="3" fontId="1" fillId="0" borderId="0" xfId="0" applyNumberFormat="1" applyFont="1" applyAlignment="1">
      <alignment horizontal="center"/>
    </xf>
    <xf numFmtId="3" fontId="0" fillId="0" borderId="1" xfId="0" applyNumberFormat="1" applyBorder="1" applyAlignment="1">
      <alignment horizontal="center" vertical="center"/>
    </xf>
    <xf numFmtId="3" fontId="0" fillId="0" borderId="3" xfId="0" applyNumberFormat="1" applyBorder="1" applyAlignment="1">
      <alignment horizontal="center" vertical="center"/>
    </xf>
    <xf numFmtId="3" fontId="0" fillId="0" borderId="2" xfId="0" applyNumberFormat="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Indicadores de Cobertura Potencial</a:t>
            </a:r>
          </a:p>
        </c:rich>
      </c:tx>
      <c:layout/>
      <c:overlay val="0"/>
    </c:title>
    <c:autoTitleDeleted val="0"/>
    <c:plotArea>
      <c:layout>
        <c:manualLayout>
          <c:layoutTarget val="inner"/>
          <c:xMode val="edge"/>
          <c:yMode val="edge"/>
          <c:x val="7.1988407699037624E-2"/>
          <c:y val="0.19480351414406533"/>
          <c:w val="0.9030115923009624"/>
          <c:h val="0.4425131233595801"/>
        </c:manualLayout>
      </c:layout>
      <c:barChart>
        <c:barDir val="col"/>
        <c:grouping val="clustered"/>
        <c:varyColors val="0"/>
        <c:ser>
          <c:idx val="0"/>
          <c:order val="0"/>
          <c:tx>
            <c:strRef>
              <c:f>Anual!$A$40</c:f>
              <c:strCache>
                <c:ptCount val="1"/>
                <c:pt idx="0">
                  <c:v>Cobertura Programada</c:v>
                </c:pt>
              </c:strCache>
            </c:strRef>
          </c:tx>
          <c:invertIfNegative val="0"/>
          <c:cat>
            <c:strRef>
              <c:f>(Anual!$B$5,Anual!$C$5,Anual!$E$5)</c:f>
              <c:strCache>
                <c:ptCount val="3"/>
                <c:pt idx="0">
                  <c:v>Total Programa</c:v>
                </c:pt>
                <c:pt idx="1">
                  <c:v>Servicios</c:v>
                </c:pt>
                <c:pt idx="2">
                  <c:v>Alternat. Residenciales</c:v>
                </c:pt>
              </c:strCache>
            </c:strRef>
          </c:cat>
          <c:val>
            <c:numRef>
              <c:f>(Anual!$B$40,Anual!$C$40,Anual!$E$40)</c:f>
              <c:numCache>
                <c:formatCode>#,##0.00</c:formatCode>
                <c:ptCount val="3"/>
                <c:pt idx="0">
                  <c:v>10.193164933135215</c:v>
                </c:pt>
                <c:pt idx="1">
                  <c:v>8.6894923258559622</c:v>
                </c:pt>
                <c:pt idx="2">
                  <c:v>17.523076923076921</c:v>
                </c:pt>
              </c:numCache>
            </c:numRef>
          </c:val>
        </c:ser>
        <c:ser>
          <c:idx val="1"/>
          <c:order val="1"/>
          <c:tx>
            <c:strRef>
              <c:f>Anual!$A$41</c:f>
              <c:strCache>
                <c:ptCount val="1"/>
                <c:pt idx="0">
                  <c:v>Cobertura Efectiva</c:v>
                </c:pt>
              </c:strCache>
            </c:strRef>
          </c:tx>
          <c:invertIfNegative val="0"/>
          <c:cat>
            <c:strRef>
              <c:f>(Anual!$B$5,Anual!$C$5,Anual!$E$5)</c:f>
              <c:strCache>
                <c:ptCount val="3"/>
                <c:pt idx="0">
                  <c:v>Total Programa</c:v>
                </c:pt>
                <c:pt idx="1">
                  <c:v>Servicios</c:v>
                </c:pt>
                <c:pt idx="2">
                  <c:v>Alternat. Residenciales</c:v>
                </c:pt>
              </c:strCache>
            </c:strRef>
          </c:cat>
          <c:val>
            <c:numRef>
              <c:f>(Anual!$B$41,Anual!$C$41,Anual!$E$41)</c:f>
              <c:numCache>
                <c:formatCode>#,##0.00</c:formatCode>
                <c:ptCount val="3"/>
                <c:pt idx="0">
                  <c:v>10.242694403169885</c:v>
                </c:pt>
                <c:pt idx="1">
                  <c:v>8.7426210153482877</c:v>
                </c:pt>
                <c:pt idx="2">
                  <c:v>17.492307692307694</c:v>
                </c:pt>
              </c:numCache>
            </c:numRef>
          </c:val>
        </c:ser>
        <c:dLbls>
          <c:showLegendKey val="0"/>
          <c:showVal val="0"/>
          <c:showCatName val="0"/>
          <c:showSerName val="0"/>
          <c:showPercent val="0"/>
          <c:showBubbleSize val="0"/>
        </c:dLbls>
        <c:gapWidth val="150"/>
        <c:axId val="194618416"/>
        <c:axId val="194618808"/>
      </c:barChart>
      <c:catAx>
        <c:axId val="194618416"/>
        <c:scaling>
          <c:orientation val="minMax"/>
        </c:scaling>
        <c:delete val="0"/>
        <c:axPos val="b"/>
        <c:numFmt formatCode="General" sourceLinked="0"/>
        <c:majorTickMark val="out"/>
        <c:minorTickMark val="none"/>
        <c:tickLblPos val="nextTo"/>
        <c:crossAx val="194618808"/>
        <c:crosses val="autoZero"/>
        <c:auto val="1"/>
        <c:lblAlgn val="ctr"/>
        <c:lblOffset val="100"/>
        <c:noMultiLvlLbl val="0"/>
      </c:catAx>
      <c:valAx>
        <c:axId val="194618808"/>
        <c:scaling>
          <c:orientation val="minMax"/>
        </c:scaling>
        <c:delete val="0"/>
        <c:axPos val="l"/>
        <c:majorGridlines/>
        <c:numFmt formatCode="#,##0" sourceLinked="0"/>
        <c:majorTickMark val="out"/>
        <c:minorTickMark val="none"/>
        <c:tickLblPos val="nextTo"/>
        <c:crossAx val="194618416"/>
        <c:crosses val="autoZero"/>
        <c:crossBetween val="between"/>
      </c:valAx>
    </c:plotArea>
    <c:legend>
      <c:legendPos val="b"/>
      <c:layout>
        <c:manualLayout>
          <c:xMode val="edge"/>
          <c:yMode val="edge"/>
          <c:x val="0.18215026246719165"/>
          <c:y val="0.7866531787693205"/>
          <c:w val="0.63569947506561686"/>
          <c:h val="8.3717191601049887E-2"/>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Indicadores de Resultado</a:t>
            </a:r>
          </a:p>
        </c:rich>
      </c:tx>
      <c:layout/>
      <c:overlay val="0"/>
    </c:title>
    <c:autoTitleDeleted val="0"/>
    <c:plotArea>
      <c:layout>
        <c:manualLayout>
          <c:layoutTarget val="inner"/>
          <c:xMode val="edge"/>
          <c:yMode val="edge"/>
          <c:x val="7.4965700410756883E-2"/>
          <c:y val="0.16769533571703382"/>
          <c:w val="0.58709866813580558"/>
          <c:h val="0.60809999993723796"/>
        </c:manualLayout>
      </c:layout>
      <c:barChart>
        <c:barDir val="col"/>
        <c:grouping val="clustered"/>
        <c:varyColors val="0"/>
        <c:ser>
          <c:idx val="0"/>
          <c:order val="0"/>
          <c:tx>
            <c:strRef>
              <c:f>Anual!$A$44</c:f>
              <c:strCache>
                <c:ptCount val="1"/>
                <c:pt idx="0">
                  <c:v>Índice efectividad en beneficiarios (IEB)</c:v>
                </c:pt>
              </c:strCache>
            </c:strRef>
          </c:tx>
          <c:invertIfNegative val="0"/>
          <c:cat>
            <c:strRef>
              <c:f>Anual!$B$5:$E$5</c:f>
              <c:strCache>
                <c:ptCount val="4"/>
                <c:pt idx="0">
                  <c:v>Total Programa</c:v>
                </c:pt>
                <c:pt idx="1">
                  <c:v>Servicios</c:v>
                </c:pt>
                <c:pt idx="2">
                  <c:v>Ayudas Técnicas</c:v>
                </c:pt>
                <c:pt idx="3">
                  <c:v>Alternat. Residenciales</c:v>
                </c:pt>
              </c:strCache>
            </c:strRef>
          </c:cat>
          <c:val>
            <c:numRef>
              <c:f>Anual!$B$44:$E$44</c:f>
              <c:numCache>
                <c:formatCode>#,##0.00</c:formatCode>
                <c:ptCount val="4"/>
                <c:pt idx="0">
                  <c:v>100.48590864917395</c:v>
                </c:pt>
                <c:pt idx="1">
                  <c:v>100.61141304347827</c:v>
                </c:pt>
                <c:pt idx="2">
                  <c:v>112.12121212121211</c:v>
                </c:pt>
                <c:pt idx="3">
                  <c:v>99.824407374890257</c:v>
                </c:pt>
              </c:numCache>
            </c:numRef>
          </c:val>
        </c:ser>
        <c:ser>
          <c:idx val="1"/>
          <c:order val="1"/>
          <c:tx>
            <c:strRef>
              <c:f>Anual!$A$45</c:f>
              <c:strCache>
                <c:ptCount val="1"/>
                <c:pt idx="0">
                  <c:v>Índice efectividad en gasto (IEG) </c:v>
                </c:pt>
              </c:strCache>
            </c:strRef>
          </c:tx>
          <c:invertIfNegative val="0"/>
          <c:cat>
            <c:strRef>
              <c:f>Anual!$B$5:$E$5</c:f>
              <c:strCache>
                <c:ptCount val="4"/>
                <c:pt idx="0">
                  <c:v>Total Programa</c:v>
                </c:pt>
                <c:pt idx="1">
                  <c:v>Servicios</c:v>
                </c:pt>
                <c:pt idx="2">
                  <c:v>Ayudas Técnicas</c:v>
                </c:pt>
                <c:pt idx="3">
                  <c:v>Alternat. Residenciales</c:v>
                </c:pt>
              </c:strCache>
            </c:strRef>
          </c:cat>
          <c:val>
            <c:numRef>
              <c:f>Anual!$B$45:$E$45</c:f>
              <c:numCache>
                <c:formatCode>#,##0.00</c:formatCode>
                <c:ptCount val="4"/>
                <c:pt idx="0">
                  <c:v>98.418350143828732</c:v>
                </c:pt>
                <c:pt idx="1">
                  <c:v>98.74536915887316</c:v>
                </c:pt>
                <c:pt idx="2">
                  <c:v>102.40853635550063</c:v>
                </c:pt>
                <c:pt idx="3">
                  <c:v>98.173459975736634</c:v>
                </c:pt>
              </c:numCache>
            </c:numRef>
          </c:val>
        </c:ser>
        <c:ser>
          <c:idx val="2"/>
          <c:order val="2"/>
          <c:tx>
            <c:strRef>
              <c:f>Anual!$A$46</c:f>
              <c:strCache>
                <c:ptCount val="1"/>
                <c:pt idx="0">
                  <c:v>Índice efectividad total (IET)</c:v>
                </c:pt>
              </c:strCache>
            </c:strRef>
          </c:tx>
          <c:invertIfNegative val="0"/>
          <c:cat>
            <c:strRef>
              <c:f>Anual!$B$5:$E$5</c:f>
              <c:strCache>
                <c:ptCount val="4"/>
                <c:pt idx="0">
                  <c:v>Total Programa</c:v>
                </c:pt>
                <c:pt idx="1">
                  <c:v>Servicios</c:v>
                </c:pt>
                <c:pt idx="2">
                  <c:v>Ayudas Técnicas</c:v>
                </c:pt>
                <c:pt idx="3">
                  <c:v>Alternat. Residenciales</c:v>
                </c:pt>
              </c:strCache>
            </c:strRef>
          </c:cat>
          <c:val>
            <c:numRef>
              <c:f>Anual!$B$46:$E$46</c:f>
              <c:numCache>
                <c:formatCode>#,##0.00</c:formatCode>
                <c:ptCount val="4"/>
                <c:pt idx="0">
                  <c:v>99.452129396501334</c:v>
                </c:pt>
                <c:pt idx="1">
                  <c:v>99.67839110117572</c:v>
                </c:pt>
                <c:pt idx="2">
                  <c:v>107.26487423835637</c:v>
                </c:pt>
                <c:pt idx="3">
                  <c:v>98.998933675313452</c:v>
                </c:pt>
              </c:numCache>
            </c:numRef>
          </c:val>
        </c:ser>
        <c:dLbls>
          <c:showLegendKey val="0"/>
          <c:showVal val="0"/>
          <c:showCatName val="0"/>
          <c:showSerName val="0"/>
          <c:showPercent val="0"/>
          <c:showBubbleSize val="0"/>
        </c:dLbls>
        <c:gapWidth val="150"/>
        <c:axId val="194619592"/>
        <c:axId val="195420976"/>
      </c:barChart>
      <c:catAx>
        <c:axId val="194619592"/>
        <c:scaling>
          <c:orientation val="minMax"/>
        </c:scaling>
        <c:delete val="0"/>
        <c:axPos val="b"/>
        <c:numFmt formatCode="General" sourceLinked="0"/>
        <c:majorTickMark val="out"/>
        <c:minorTickMark val="none"/>
        <c:tickLblPos val="nextTo"/>
        <c:crossAx val="195420976"/>
        <c:crosses val="autoZero"/>
        <c:auto val="1"/>
        <c:lblAlgn val="ctr"/>
        <c:lblOffset val="100"/>
        <c:noMultiLvlLbl val="0"/>
      </c:catAx>
      <c:valAx>
        <c:axId val="195420976"/>
        <c:scaling>
          <c:orientation val="minMax"/>
        </c:scaling>
        <c:delete val="0"/>
        <c:axPos val="l"/>
        <c:majorGridlines/>
        <c:numFmt formatCode="#,##0" sourceLinked="0"/>
        <c:majorTickMark val="out"/>
        <c:minorTickMark val="none"/>
        <c:tickLblPos val="nextTo"/>
        <c:crossAx val="194619592"/>
        <c:crosses val="autoZero"/>
        <c:crossBetween val="between"/>
      </c:valAx>
    </c:plotArea>
    <c:legend>
      <c:legendPos val="r"/>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Indicadores de Avance</a:t>
            </a:r>
          </a:p>
        </c:rich>
      </c:tx>
      <c:layout/>
      <c:overlay val="0"/>
    </c:title>
    <c:autoTitleDeleted val="0"/>
    <c:plotArea>
      <c:layout>
        <c:manualLayout>
          <c:layoutTarget val="inner"/>
          <c:xMode val="edge"/>
          <c:yMode val="edge"/>
          <c:x val="7.6508214250996423E-2"/>
          <c:y val="0.17772986298053098"/>
          <c:w val="0.58044211140274127"/>
          <c:h val="0.58887341247589586"/>
        </c:manualLayout>
      </c:layout>
      <c:barChart>
        <c:barDir val="col"/>
        <c:grouping val="clustered"/>
        <c:varyColors val="0"/>
        <c:ser>
          <c:idx val="0"/>
          <c:order val="0"/>
          <c:tx>
            <c:strRef>
              <c:f>Anual!$A$49</c:f>
              <c:strCache>
                <c:ptCount val="1"/>
                <c:pt idx="0">
                  <c:v>Índice avance beneficiarios (IAB) </c:v>
                </c:pt>
              </c:strCache>
            </c:strRef>
          </c:tx>
          <c:invertIfNegative val="0"/>
          <c:cat>
            <c:strRef>
              <c:f>Anual!$B$5:$E$5</c:f>
              <c:strCache>
                <c:ptCount val="4"/>
                <c:pt idx="0">
                  <c:v>Total Programa</c:v>
                </c:pt>
                <c:pt idx="1">
                  <c:v>Servicios</c:v>
                </c:pt>
                <c:pt idx="2">
                  <c:v>Ayudas Técnicas</c:v>
                </c:pt>
                <c:pt idx="3">
                  <c:v>Alternat. Residenciales</c:v>
                </c:pt>
              </c:strCache>
            </c:strRef>
          </c:cat>
          <c:val>
            <c:numRef>
              <c:f>Anual!$B$49:$E$49</c:f>
              <c:numCache>
                <c:formatCode>#,##0.00</c:formatCode>
                <c:ptCount val="4"/>
                <c:pt idx="0">
                  <c:v>100.48590864917395</c:v>
                </c:pt>
                <c:pt idx="1">
                  <c:v>100.61141304347827</c:v>
                </c:pt>
                <c:pt idx="2">
                  <c:v>112.12121212121211</c:v>
                </c:pt>
                <c:pt idx="3">
                  <c:v>99.824407374890257</c:v>
                </c:pt>
              </c:numCache>
            </c:numRef>
          </c:val>
        </c:ser>
        <c:ser>
          <c:idx val="1"/>
          <c:order val="1"/>
          <c:tx>
            <c:strRef>
              <c:f>Anual!$A$50</c:f>
              <c:strCache>
                <c:ptCount val="1"/>
                <c:pt idx="0">
                  <c:v>Índice avance gasto (IAG)</c:v>
                </c:pt>
              </c:strCache>
            </c:strRef>
          </c:tx>
          <c:invertIfNegative val="0"/>
          <c:cat>
            <c:strRef>
              <c:f>Anual!$B$5:$E$5</c:f>
              <c:strCache>
                <c:ptCount val="4"/>
                <c:pt idx="0">
                  <c:v>Total Programa</c:v>
                </c:pt>
                <c:pt idx="1">
                  <c:v>Servicios</c:v>
                </c:pt>
                <c:pt idx="2">
                  <c:v>Ayudas Técnicas</c:v>
                </c:pt>
                <c:pt idx="3">
                  <c:v>Alternat. Residenciales</c:v>
                </c:pt>
              </c:strCache>
            </c:strRef>
          </c:cat>
          <c:val>
            <c:numRef>
              <c:f>Anual!$B$50:$E$50</c:f>
              <c:numCache>
                <c:formatCode>#,##0.00</c:formatCode>
                <c:ptCount val="4"/>
                <c:pt idx="0">
                  <c:v>98.418350143828732</c:v>
                </c:pt>
                <c:pt idx="1">
                  <c:v>98.74536915887316</c:v>
                </c:pt>
                <c:pt idx="2">
                  <c:v>102.40853635550063</c:v>
                </c:pt>
                <c:pt idx="3">
                  <c:v>98.173459975736634</c:v>
                </c:pt>
              </c:numCache>
            </c:numRef>
          </c:val>
        </c:ser>
        <c:ser>
          <c:idx val="2"/>
          <c:order val="2"/>
          <c:tx>
            <c:strRef>
              <c:f>Anual!$A$51</c:f>
              <c:strCache>
                <c:ptCount val="1"/>
                <c:pt idx="0">
                  <c:v>Índice avance total (IAT) </c:v>
                </c:pt>
              </c:strCache>
            </c:strRef>
          </c:tx>
          <c:invertIfNegative val="0"/>
          <c:cat>
            <c:strRef>
              <c:f>Anual!$B$5:$E$5</c:f>
              <c:strCache>
                <c:ptCount val="4"/>
                <c:pt idx="0">
                  <c:v>Total Programa</c:v>
                </c:pt>
                <c:pt idx="1">
                  <c:v>Servicios</c:v>
                </c:pt>
                <c:pt idx="2">
                  <c:v>Ayudas Técnicas</c:v>
                </c:pt>
                <c:pt idx="3">
                  <c:v>Alternat. Residenciales</c:v>
                </c:pt>
              </c:strCache>
            </c:strRef>
          </c:cat>
          <c:val>
            <c:numRef>
              <c:f>Anual!$B$51:$E$51</c:f>
              <c:numCache>
                <c:formatCode>#,##0.00</c:formatCode>
                <c:ptCount val="4"/>
                <c:pt idx="0">
                  <c:v>99.452129396501334</c:v>
                </c:pt>
                <c:pt idx="1">
                  <c:v>99.67839110117572</c:v>
                </c:pt>
                <c:pt idx="2">
                  <c:v>107.26487423835637</c:v>
                </c:pt>
                <c:pt idx="3">
                  <c:v>98.998933675313452</c:v>
                </c:pt>
              </c:numCache>
            </c:numRef>
          </c:val>
        </c:ser>
        <c:dLbls>
          <c:showLegendKey val="0"/>
          <c:showVal val="0"/>
          <c:showCatName val="0"/>
          <c:showSerName val="0"/>
          <c:showPercent val="0"/>
          <c:showBubbleSize val="0"/>
        </c:dLbls>
        <c:gapWidth val="150"/>
        <c:axId val="195421760"/>
        <c:axId val="195422152"/>
      </c:barChart>
      <c:catAx>
        <c:axId val="195421760"/>
        <c:scaling>
          <c:orientation val="minMax"/>
        </c:scaling>
        <c:delete val="0"/>
        <c:axPos val="b"/>
        <c:numFmt formatCode="General" sourceLinked="0"/>
        <c:majorTickMark val="out"/>
        <c:minorTickMark val="none"/>
        <c:tickLblPos val="nextTo"/>
        <c:crossAx val="195422152"/>
        <c:crosses val="autoZero"/>
        <c:auto val="1"/>
        <c:lblAlgn val="ctr"/>
        <c:lblOffset val="100"/>
        <c:noMultiLvlLbl val="0"/>
      </c:catAx>
      <c:valAx>
        <c:axId val="195422152"/>
        <c:scaling>
          <c:orientation val="minMax"/>
        </c:scaling>
        <c:delete val="0"/>
        <c:axPos val="l"/>
        <c:majorGridlines/>
        <c:numFmt formatCode="#,##0.00" sourceLinked="1"/>
        <c:majorTickMark val="out"/>
        <c:minorTickMark val="none"/>
        <c:tickLblPos val="nextTo"/>
        <c:crossAx val="195421760"/>
        <c:crosses val="autoZero"/>
        <c:crossBetween val="between"/>
        <c:majorUnit val="25"/>
      </c:valAx>
    </c:plotArea>
    <c:legend>
      <c:legendPos val="r"/>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Indicadores de expansión</a:t>
            </a:r>
          </a:p>
        </c:rich>
      </c:tx>
      <c:layout/>
      <c:overlay val="0"/>
    </c:title>
    <c:autoTitleDeleted val="0"/>
    <c:plotArea>
      <c:layout>
        <c:manualLayout>
          <c:layoutTarget val="inner"/>
          <c:xMode val="edge"/>
          <c:yMode val="edge"/>
          <c:x val="5.5930446194225727E-2"/>
          <c:y val="0.19432888597258677"/>
          <c:w val="0.57720844269466332"/>
          <c:h val="0.57858012540099157"/>
        </c:manualLayout>
      </c:layout>
      <c:barChart>
        <c:barDir val="bar"/>
        <c:grouping val="clustered"/>
        <c:varyColors val="0"/>
        <c:ser>
          <c:idx val="0"/>
          <c:order val="0"/>
          <c:tx>
            <c:strRef>
              <c:f>Anual!$A$57</c:f>
              <c:strCache>
                <c:ptCount val="1"/>
                <c:pt idx="0">
                  <c:v>Índice de crecimiento beneficiarios (ICB) </c:v>
                </c:pt>
              </c:strCache>
            </c:strRef>
          </c:tx>
          <c:invertIfNegative val="0"/>
          <c:cat>
            <c:strRef>
              <c:f>Anual!$B$5:$E$5</c:f>
              <c:strCache>
                <c:ptCount val="4"/>
                <c:pt idx="0">
                  <c:v>Total Programa</c:v>
                </c:pt>
                <c:pt idx="1">
                  <c:v>Servicios</c:v>
                </c:pt>
                <c:pt idx="2">
                  <c:v>Ayudas Técnicas</c:v>
                </c:pt>
                <c:pt idx="3">
                  <c:v>Alternat. Residenciales</c:v>
                </c:pt>
              </c:strCache>
            </c:strRef>
          </c:cat>
          <c:val>
            <c:numRef>
              <c:f>Anual!$B$57:$E$57</c:f>
              <c:numCache>
                <c:formatCode>#,##0.00</c:formatCode>
                <c:ptCount val="4"/>
                <c:pt idx="0">
                  <c:v>-1.4534191088872994</c:v>
                </c:pt>
                <c:pt idx="1">
                  <c:v>-0.23576961940047214</c:v>
                </c:pt>
                <c:pt idx="2">
                  <c:v>-75.657894736842096</c:v>
                </c:pt>
                <c:pt idx="3">
                  <c:v>5.6691449814126438</c:v>
                </c:pt>
              </c:numCache>
            </c:numRef>
          </c:val>
        </c:ser>
        <c:ser>
          <c:idx val="1"/>
          <c:order val="1"/>
          <c:tx>
            <c:strRef>
              <c:f>Anual!$A$58</c:f>
              <c:strCache>
                <c:ptCount val="1"/>
                <c:pt idx="0">
                  <c:v>Índice de crecimiento del gasto real (ICGR) </c:v>
                </c:pt>
              </c:strCache>
            </c:strRef>
          </c:tx>
          <c:invertIfNegative val="0"/>
          <c:cat>
            <c:strRef>
              <c:f>Anual!$B$5:$E$5</c:f>
              <c:strCache>
                <c:ptCount val="4"/>
                <c:pt idx="0">
                  <c:v>Total Programa</c:v>
                </c:pt>
                <c:pt idx="1">
                  <c:v>Servicios</c:v>
                </c:pt>
                <c:pt idx="2">
                  <c:v>Ayudas Técnicas</c:v>
                </c:pt>
                <c:pt idx="3">
                  <c:v>Alternat. Residenciales</c:v>
                </c:pt>
              </c:strCache>
            </c:strRef>
          </c:cat>
          <c:val>
            <c:numRef>
              <c:f>Anual!$B$58:$E$58</c:f>
              <c:numCache>
                <c:formatCode>#,##0.00</c:formatCode>
                <c:ptCount val="4"/>
                <c:pt idx="0">
                  <c:v>-0.95411067829284102</c:v>
                </c:pt>
                <c:pt idx="1">
                  <c:v>6.6065545600305864</c:v>
                </c:pt>
                <c:pt idx="2">
                  <c:v>-77.828258092607825</c:v>
                </c:pt>
                <c:pt idx="3">
                  <c:v>4.4715279524590645</c:v>
                </c:pt>
              </c:numCache>
            </c:numRef>
          </c:val>
        </c:ser>
        <c:ser>
          <c:idx val="2"/>
          <c:order val="2"/>
          <c:tx>
            <c:strRef>
              <c:f>Anual!$A$59</c:f>
              <c:strCache>
                <c:ptCount val="1"/>
                <c:pt idx="0">
                  <c:v>Índice de crecimiento del gasto real por beneficiario (ICGRB) </c:v>
                </c:pt>
              </c:strCache>
            </c:strRef>
          </c:tx>
          <c:invertIfNegative val="0"/>
          <c:cat>
            <c:strRef>
              <c:f>Anual!$B$5:$E$5</c:f>
              <c:strCache>
                <c:ptCount val="4"/>
                <c:pt idx="0">
                  <c:v>Total Programa</c:v>
                </c:pt>
                <c:pt idx="1">
                  <c:v>Servicios</c:v>
                </c:pt>
                <c:pt idx="2">
                  <c:v>Ayudas Técnicas</c:v>
                </c:pt>
                <c:pt idx="3">
                  <c:v>Alternat. Residenciales</c:v>
                </c:pt>
              </c:strCache>
            </c:strRef>
          </c:cat>
          <c:val>
            <c:numRef>
              <c:f>Anual!$B$59:$E$59</c:f>
              <c:numCache>
                <c:formatCode>#,##0.00</c:formatCode>
                <c:ptCount val="4"/>
                <c:pt idx="0">
                  <c:v>0.50667250561047261</c:v>
                </c:pt>
                <c:pt idx="1">
                  <c:v>6.8584944256349756</c:v>
                </c:pt>
                <c:pt idx="2">
                  <c:v>-8.9160872993618749</c:v>
                </c:pt>
                <c:pt idx="3">
                  <c:v>-1.1333649280158786</c:v>
                </c:pt>
              </c:numCache>
            </c:numRef>
          </c:val>
        </c:ser>
        <c:dLbls>
          <c:showLegendKey val="0"/>
          <c:showVal val="0"/>
          <c:showCatName val="0"/>
          <c:showSerName val="0"/>
          <c:showPercent val="0"/>
          <c:showBubbleSize val="0"/>
        </c:dLbls>
        <c:gapWidth val="150"/>
        <c:axId val="195422936"/>
        <c:axId val="195423328"/>
      </c:barChart>
      <c:catAx>
        <c:axId val="195422936"/>
        <c:scaling>
          <c:orientation val="minMax"/>
        </c:scaling>
        <c:delete val="0"/>
        <c:axPos val="l"/>
        <c:numFmt formatCode="General" sourceLinked="0"/>
        <c:majorTickMark val="out"/>
        <c:minorTickMark val="none"/>
        <c:tickLblPos val="nextTo"/>
        <c:crossAx val="195423328"/>
        <c:crosses val="autoZero"/>
        <c:auto val="1"/>
        <c:lblAlgn val="ctr"/>
        <c:lblOffset val="100"/>
        <c:noMultiLvlLbl val="0"/>
      </c:catAx>
      <c:valAx>
        <c:axId val="195423328"/>
        <c:scaling>
          <c:orientation val="minMax"/>
        </c:scaling>
        <c:delete val="0"/>
        <c:axPos val="b"/>
        <c:majorGridlines/>
        <c:numFmt formatCode="#,##0.00" sourceLinked="1"/>
        <c:majorTickMark val="out"/>
        <c:minorTickMark val="none"/>
        <c:tickLblPos val="nextTo"/>
        <c:crossAx val="195422936"/>
        <c:crosses val="autoZero"/>
        <c:crossBetween val="between"/>
      </c:valAx>
    </c:plotArea>
    <c:legend>
      <c:legendPos val="r"/>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Indicadores de Gasto Medio</a:t>
            </a:r>
          </a:p>
        </c:rich>
      </c:tx>
      <c:layout/>
      <c:overlay val="0"/>
    </c:title>
    <c:autoTitleDeleted val="0"/>
    <c:plotArea>
      <c:layout>
        <c:manualLayout>
          <c:layoutTarget val="inner"/>
          <c:xMode val="edge"/>
          <c:yMode val="edge"/>
          <c:x val="0.35426914968376672"/>
          <c:y val="0.12282428394351491"/>
          <c:w val="0.62578200442523657"/>
          <c:h val="0.4792779917482014"/>
        </c:manualLayout>
      </c:layout>
      <c:barChart>
        <c:barDir val="col"/>
        <c:grouping val="clustered"/>
        <c:varyColors val="0"/>
        <c:ser>
          <c:idx val="0"/>
          <c:order val="0"/>
          <c:tx>
            <c:strRef>
              <c:f>Anual!$A$62</c:f>
              <c:strCache>
                <c:ptCount val="1"/>
                <c:pt idx="0">
                  <c:v>Gasto programado mensual por beneficiario (GPB) </c:v>
                </c:pt>
              </c:strCache>
            </c:strRef>
          </c:tx>
          <c:invertIfNegative val="0"/>
          <c:cat>
            <c:strRef>
              <c:f>Anual!$B$5:$E$5</c:f>
              <c:strCache>
                <c:ptCount val="4"/>
                <c:pt idx="0">
                  <c:v>Total Programa</c:v>
                </c:pt>
                <c:pt idx="1">
                  <c:v>Servicios</c:v>
                </c:pt>
                <c:pt idx="2">
                  <c:v>Ayudas Técnicas</c:v>
                </c:pt>
                <c:pt idx="3">
                  <c:v>Alternat. Residenciales</c:v>
                </c:pt>
              </c:strCache>
            </c:strRef>
          </c:cat>
          <c:val>
            <c:numRef>
              <c:f>Anual!$B$62:$E$62</c:f>
              <c:numCache>
                <c:formatCode>#,##0</c:formatCode>
                <c:ptCount val="4"/>
                <c:pt idx="0">
                  <c:v>77510.115206916103</c:v>
                </c:pt>
                <c:pt idx="1">
                  <c:v>33722.119265172107</c:v>
                </c:pt>
                <c:pt idx="2">
                  <c:v>152762.84823232322</c:v>
                </c:pt>
                <c:pt idx="3">
                  <c:v>188509.69366403279</c:v>
                </c:pt>
              </c:numCache>
            </c:numRef>
          </c:val>
        </c:ser>
        <c:ser>
          <c:idx val="1"/>
          <c:order val="1"/>
          <c:tx>
            <c:strRef>
              <c:f>Anual!$A$63</c:f>
              <c:strCache>
                <c:ptCount val="1"/>
                <c:pt idx="0">
                  <c:v>Gasto efectivo mensual por beneficiario (GEB) </c:v>
                </c:pt>
              </c:strCache>
            </c:strRef>
          </c:tx>
          <c:invertIfNegative val="0"/>
          <c:cat>
            <c:strRef>
              <c:f>Anual!$B$5:$E$5</c:f>
              <c:strCache>
                <c:ptCount val="4"/>
                <c:pt idx="0">
                  <c:v>Total Programa</c:v>
                </c:pt>
                <c:pt idx="1">
                  <c:v>Servicios</c:v>
                </c:pt>
                <c:pt idx="2">
                  <c:v>Ayudas Técnicas</c:v>
                </c:pt>
                <c:pt idx="3">
                  <c:v>Alternat. Residenciales</c:v>
                </c:pt>
              </c:strCache>
            </c:strRef>
          </c:cat>
          <c:val>
            <c:numRef>
              <c:f>Anual!$B$63:$E$63</c:f>
              <c:numCache>
                <c:formatCode>#,##0</c:formatCode>
                <c:ptCount val="4"/>
                <c:pt idx="0">
                  <c:v>75915.29758421985</c:v>
                </c:pt>
                <c:pt idx="1">
                  <c:v>33096.673776164753</c:v>
                </c:pt>
                <c:pt idx="2">
                  <c:v>139529.52702702704</c:v>
                </c:pt>
                <c:pt idx="3">
                  <c:v>185392.0233802404</c:v>
                </c:pt>
              </c:numCache>
            </c:numRef>
          </c:val>
        </c:ser>
        <c:ser>
          <c:idx val="2"/>
          <c:order val="2"/>
          <c:tx>
            <c:strRef>
              <c:f>Anual!$A$65</c:f>
              <c:strCache>
                <c:ptCount val="1"/>
                <c:pt idx="0">
                  <c:v>Gasto programado acumulado por beneficiario (GPB) </c:v>
                </c:pt>
              </c:strCache>
            </c:strRef>
          </c:tx>
          <c:invertIfNegative val="0"/>
          <c:cat>
            <c:strRef>
              <c:f>Anual!$B$5:$E$5</c:f>
              <c:strCache>
                <c:ptCount val="4"/>
                <c:pt idx="0">
                  <c:v>Total Programa</c:v>
                </c:pt>
                <c:pt idx="1">
                  <c:v>Servicios</c:v>
                </c:pt>
                <c:pt idx="2">
                  <c:v>Ayudas Técnicas</c:v>
                </c:pt>
                <c:pt idx="3">
                  <c:v>Alternat. Residenciales</c:v>
                </c:pt>
              </c:strCache>
            </c:strRef>
          </c:cat>
          <c:val>
            <c:numRef>
              <c:f>Anual!$B$65:$E$65</c:f>
              <c:numCache>
                <c:formatCode>#,##0</c:formatCode>
                <c:ptCount val="4"/>
                <c:pt idx="0">
                  <c:v>930121.3824829933</c:v>
                </c:pt>
                <c:pt idx="1">
                  <c:v>404665.43118206522</c:v>
                </c:pt>
                <c:pt idx="2">
                  <c:v>1833154.1787878787</c:v>
                </c:pt>
                <c:pt idx="3">
                  <c:v>2262116.3239683933</c:v>
                </c:pt>
              </c:numCache>
            </c:numRef>
          </c:val>
        </c:ser>
        <c:ser>
          <c:idx val="3"/>
          <c:order val="3"/>
          <c:tx>
            <c:strRef>
              <c:f>Anual!$A$66</c:f>
              <c:strCache>
                <c:ptCount val="1"/>
                <c:pt idx="0">
                  <c:v>Gasto efectivo acumulado por beneficiario (GEB) </c:v>
                </c:pt>
              </c:strCache>
            </c:strRef>
          </c:tx>
          <c:invertIfNegative val="0"/>
          <c:cat>
            <c:strRef>
              <c:f>Anual!$B$5:$E$5</c:f>
              <c:strCache>
                <c:ptCount val="4"/>
                <c:pt idx="0">
                  <c:v>Total Programa</c:v>
                </c:pt>
                <c:pt idx="1">
                  <c:v>Servicios</c:v>
                </c:pt>
                <c:pt idx="2">
                  <c:v>Ayudas Técnicas</c:v>
                </c:pt>
                <c:pt idx="3">
                  <c:v>Alternat. Residenciales</c:v>
                </c:pt>
              </c:strCache>
            </c:strRef>
          </c:cat>
          <c:val>
            <c:numRef>
              <c:f>Anual!$B$66:$E$66</c:f>
              <c:numCache>
                <c:formatCode>#,##0</c:formatCode>
                <c:ptCount val="4"/>
                <c:pt idx="0">
                  <c:v>910983.57101063826</c:v>
                </c:pt>
                <c:pt idx="1">
                  <c:v>397160.08531397703</c:v>
                </c:pt>
                <c:pt idx="2">
                  <c:v>1674354.3243243243</c:v>
                </c:pt>
                <c:pt idx="3">
                  <c:v>2224704.2805628846</c:v>
                </c:pt>
              </c:numCache>
            </c:numRef>
          </c:val>
        </c:ser>
        <c:dLbls>
          <c:showLegendKey val="0"/>
          <c:showVal val="0"/>
          <c:showCatName val="0"/>
          <c:showSerName val="0"/>
          <c:showPercent val="0"/>
          <c:showBubbleSize val="0"/>
        </c:dLbls>
        <c:gapWidth val="150"/>
        <c:axId val="195424112"/>
        <c:axId val="195424504"/>
      </c:barChart>
      <c:catAx>
        <c:axId val="195424112"/>
        <c:scaling>
          <c:orientation val="minMax"/>
        </c:scaling>
        <c:delete val="0"/>
        <c:axPos val="b"/>
        <c:numFmt formatCode="General" sourceLinked="0"/>
        <c:majorTickMark val="none"/>
        <c:minorTickMark val="none"/>
        <c:tickLblPos val="nextTo"/>
        <c:crossAx val="195424504"/>
        <c:crosses val="autoZero"/>
        <c:auto val="1"/>
        <c:lblAlgn val="ctr"/>
        <c:lblOffset val="100"/>
        <c:noMultiLvlLbl val="0"/>
      </c:catAx>
      <c:valAx>
        <c:axId val="195424504"/>
        <c:scaling>
          <c:orientation val="minMax"/>
        </c:scaling>
        <c:delete val="0"/>
        <c:axPos val="l"/>
        <c:majorGridlines/>
        <c:title>
          <c:tx>
            <c:rich>
              <a:bodyPr/>
              <a:lstStyle/>
              <a:p>
                <a:pPr>
                  <a:defRPr/>
                </a:pPr>
                <a:r>
                  <a:rPr lang="en-US"/>
                  <a:t>Colones Corrientes</a:t>
                </a:r>
              </a:p>
            </c:rich>
          </c:tx>
          <c:layout>
            <c:manualLayout>
              <c:xMode val="edge"/>
              <c:yMode val="edge"/>
              <c:x val="0.20716109194496776"/>
              <c:y val="0.22924748018127208"/>
            </c:manualLayout>
          </c:layout>
          <c:overlay val="0"/>
        </c:title>
        <c:numFmt formatCode="#,##0" sourceLinked="1"/>
        <c:majorTickMark val="none"/>
        <c:minorTickMark val="none"/>
        <c:tickLblPos val="nextTo"/>
        <c:crossAx val="195424112"/>
        <c:crosses val="autoZero"/>
        <c:crossBetween val="between"/>
      </c:valAx>
      <c:dTable>
        <c:showHorzBorder val="1"/>
        <c:showVertBorder val="1"/>
        <c:showOutline val="1"/>
        <c:showKeys val="1"/>
      </c:dTable>
    </c:plotArea>
    <c:plotVisOnly val="1"/>
    <c:dispBlanksAs val="gap"/>
    <c:showDLblsOverMax val="0"/>
  </c:chart>
  <c:printSettings>
    <c:headerFooter/>
    <c:pageMargins b="0.75000000000000022" l="0.70000000000000018" r="0.70000000000000018" t="0.75000000000000022" header="0.3000000000000001" footer="0.30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Indicadores de Giro de Recursos</a:t>
            </a:r>
          </a:p>
        </c:rich>
      </c:tx>
      <c:layout/>
      <c:overlay val="0"/>
    </c:title>
    <c:autoTitleDeleted val="0"/>
    <c:plotArea>
      <c:layout>
        <c:manualLayout>
          <c:layoutTarget val="inner"/>
          <c:xMode val="edge"/>
          <c:yMode val="edge"/>
          <c:x val="8.6071741032370946E-2"/>
          <c:y val="0.19480351414406533"/>
          <c:w val="0.79659470691163603"/>
          <c:h val="0.52254994167395741"/>
        </c:manualLayout>
      </c:layout>
      <c:barChart>
        <c:barDir val="col"/>
        <c:grouping val="clustered"/>
        <c:varyColors val="0"/>
        <c:ser>
          <c:idx val="0"/>
          <c:order val="0"/>
          <c:tx>
            <c:strRef>
              <c:f>Anual!$A$69</c:f>
              <c:strCache>
                <c:ptCount val="1"/>
                <c:pt idx="0">
                  <c:v>Índice de giro efectivo (IGE)</c:v>
                </c:pt>
              </c:strCache>
            </c:strRef>
          </c:tx>
          <c:invertIfNegative val="0"/>
          <c:cat>
            <c:strRef>
              <c:f>Anual!$B$5</c:f>
              <c:strCache>
                <c:ptCount val="1"/>
                <c:pt idx="0">
                  <c:v>Total Programa</c:v>
                </c:pt>
              </c:strCache>
            </c:strRef>
          </c:cat>
          <c:val>
            <c:numRef>
              <c:f>Anual!$B$69</c:f>
              <c:numCache>
                <c:formatCode>#,##0.00</c:formatCode>
                <c:ptCount val="1"/>
                <c:pt idx="0">
                  <c:v>102.18253186766535</c:v>
                </c:pt>
              </c:numCache>
            </c:numRef>
          </c:val>
        </c:ser>
        <c:ser>
          <c:idx val="1"/>
          <c:order val="1"/>
          <c:tx>
            <c:strRef>
              <c:f>Anual!$A$70</c:f>
              <c:strCache>
                <c:ptCount val="1"/>
                <c:pt idx="0">
                  <c:v>Índice de uso de recursos (IUR) </c:v>
                </c:pt>
              </c:strCache>
            </c:strRef>
          </c:tx>
          <c:invertIfNegative val="0"/>
          <c:cat>
            <c:strRef>
              <c:f>Anual!$B$5</c:f>
              <c:strCache>
                <c:ptCount val="1"/>
                <c:pt idx="0">
                  <c:v>Total Programa</c:v>
                </c:pt>
              </c:strCache>
            </c:strRef>
          </c:cat>
          <c:val>
            <c:numRef>
              <c:f>Anual!$B$70</c:f>
              <c:numCache>
                <c:formatCode>#,##0.00</c:formatCode>
                <c:ptCount val="1"/>
                <c:pt idx="0">
                  <c:v>96.316217992414252</c:v>
                </c:pt>
              </c:numCache>
            </c:numRef>
          </c:val>
        </c:ser>
        <c:dLbls>
          <c:showLegendKey val="0"/>
          <c:showVal val="0"/>
          <c:showCatName val="0"/>
          <c:showSerName val="0"/>
          <c:showPercent val="0"/>
          <c:showBubbleSize val="0"/>
        </c:dLbls>
        <c:gapWidth val="150"/>
        <c:axId val="195425680"/>
        <c:axId val="195426072"/>
      </c:barChart>
      <c:catAx>
        <c:axId val="195425680"/>
        <c:scaling>
          <c:orientation val="minMax"/>
        </c:scaling>
        <c:delete val="0"/>
        <c:axPos val="b"/>
        <c:numFmt formatCode="General" sourceLinked="0"/>
        <c:majorTickMark val="out"/>
        <c:minorTickMark val="none"/>
        <c:tickLblPos val="nextTo"/>
        <c:crossAx val="195426072"/>
        <c:crosses val="autoZero"/>
        <c:auto val="1"/>
        <c:lblAlgn val="ctr"/>
        <c:lblOffset val="100"/>
        <c:noMultiLvlLbl val="0"/>
      </c:catAx>
      <c:valAx>
        <c:axId val="195426072"/>
        <c:scaling>
          <c:orientation val="minMax"/>
        </c:scaling>
        <c:delete val="0"/>
        <c:axPos val="l"/>
        <c:majorGridlines/>
        <c:numFmt formatCode="#,##0" sourceLinked="0"/>
        <c:majorTickMark val="out"/>
        <c:minorTickMark val="none"/>
        <c:tickLblPos val="nextTo"/>
        <c:crossAx val="195425680"/>
        <c:crosses val="autoZero"/>
        <c:crossBetween val="between"/>
      </c:valAx>
    </c:plotArea>
    <c:legend>
      <c:legendPos val="b"/>
      <c:layout>
        <c:manualLayout>
          <c:xMode val="edge"/>
          <c:yMode val="edge"/>
          <c:x val="6.3482939632545934E-2"/>
          <c:y val="0.80054206765820934"/>
          <c:w val="0.87303412073490816"/>
          <c:h val="8.3717191601049887E-2"/>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layout/>
      <c:overlay val="0"/>
    </c:title>
    <c:autoTitleDeleted val="0"/>
    <c:plotArea>
      <c:layout>
        <c:manualLayout>
          <c:layoutTarget val="inner"/>
          <c:xMode val="edge"/>
          <c:yMode val="edge"/>
          <c:x val="7.746458217806737E-2"/>
          <c:y val="0.16075471402967187"/>
          <c:w val="0.81093539585342433"/>
          <c:h val="0.54027042686026749"/>
        </c:manualLayout>
      </c:layout>
      <c:barChart>
        <c:barDir val="col"/>
        <c:grouping val="clustered"/>
        <c:varyColors val="0"/>
        <c:ser>
          <c:idx val="0"/>
          <c:order val="0"/>
          <c:tx>
            <c:strRef>
              <c:f>Anual!$A$64</c:f>
              <c:strCache>
                <c:ptCount val="1"/>
                <c:pt idx="0">
                  <c:v>Índice de eficiencia (IE) </c:v>
                </c:pt>
              </c:strCache>
            </c:strRef>
          </c:tx>
          <c:invertIfNegative val="0"/>
          <c:cat>
            <c:strRef>
              <c:f>Anual!$B$5:$E$5</c:f>
              <c:strCache>
                <c:ptCount val="4"/>
                <c:pt idx="0">
                  <c:v>Total Programa</c:v>
                </c:pt>
                <c:pt idx="1">
                  <c:v>Servicios</c:v>
                </c:pt>
                <c:pt idx="2">
                  <c:v>Ayudas Técnicas</c:v>
                </c:pt>
                <c:pt idx="3">
                  <c:v>Alternat. Residenciales</c:v>
                </c:pt>
              </c:strCache>
            </c:strRef>
          </c:cat>
          <c:val>
            <c:numRef>
              <c:f>Anual!$B$64:$E$64</c:f>
              <c:numCache>
                <c:formatCode>#,##0.00</c:formatCode>
                <c:ptCount val="4"/>
                <c:pt idx="0">
                  <c:v>101.54140538728895</c:v>
                </c:pt>
                <c:pt idx="1">
                  <c:v>101.56206679884171</c:v>
                </c:pt>
                <c:pt idx="2">
                  <c:v>117.43813695261265</c:v>
                </c:pt>
                <c:pt idx="3">
                  <c:v>100.66376276568712</c:v>
                </c:pt>
              </c:numCache>
            </c:numRef>
          </c:val>
        </c:ser>
        <c:dLbls>
          <c:showLegendKey val="0"/>
          <c:showVal val="0"/>
          <c:showCatName val="0"/>
          <c:showSerName val="0"/>
          <c:showPercent val="0"/>
          <c:showBubbleSize val="0"/>
        </c:dLbls>
        <c:gapWidth val="150"/>
        <c:axId val="195426856"/>
        <c:axId val="195427248"/>
      </c:barChart>
      <c:catAx>
        <c:axId val="195426856"/>
        <c:scaling>
          <c:orientation val="minMax"/>
        </c:scaling>
        <c:delete val="0"/>
        <c:axPos val="b"/>
        <c:numFmt formatCode="General" sourceLinked="0"/>
        <c:majorTickMark val="out"/>
        <c:minorTickMark val="none"/>
        <c:tickLblPos val="nextTo"/>
        <c:crossAx val="195427248"/>
        <c:crosses val="autoZero"/>
        <c:auto val="1"/>
        <c:lblAlgn val="ctr"/>
        <c:lblOffset val="100"/>
        <c:noMultiLvlLbl val="0"/>
      </c:catAx>
      <c:valAx>
        <c:axId val="195427248"/>
        <c:scaling>
          <c:orientation val="minMax"/>
        </c:scaling>
        <c:delete val="0"/>
        <c:axPos val="l"/>
        <c:majorGridlines/>
        <c:numFmt formatCode="#,##0.00" sourceLinked="1"/>
        <c:majorTickMark val="out"/>
        <c:minorTickMark val="none"/>
        <c:tickLblPos val="nextTo"/>
        <c:crossAx val="195426856"/>
        <c:crosses val="autoZero"/>
        <c:crossBetween val="between"/>
      </c:valAx>
    </c:plotArea>
    <c:legend>
      <c:legendPos val="b"/>
      <c:layout>
        <c:manualLayout>
          <c:xMode val="edge"/>
          <c:yMode val="edge"/>
          <c:x val="0.34004002756693447"/>
          <c:y val="0.83922483008074678"/>
          <c:w val="0.3199199448661309"/>
          <c:h val="6.908465308917025E-2"/>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userShapes r:id="rId1"/>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20</xdr:row>
      <xdr:rowOff>0</xdr:rowOff>
    </xdr:from>
    <xdr:to>
      <xdr:col>19</xdr:col>
      <xdr:colOff>412730</xdr:colOff>
      <xdr:row>21</xdr:row>
      <xdr:rowOff>111341</xdr:rowOff>
    </xdr:to>
    <xdr:sp macro="" textlink="">
      <xdr:nvSpPr>
        <xdr:cNvPr id="17" name="1 CuadroTexto"/>
        <xdr:cNvSpPr txBox="1"/>
      </xdr:nvSpPr>
      <xdr:spPr>
        <a:xfrm>
          <a:off x="14239875" y="3829050"/>
          <a:ext cx="4984730" cy="30184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CR" sz="900">
              <a:latin typeface="+mn-lt"/>
            </a:rPr>
            <a:t>Fuente: </a:t>
          </a:r>
          <a:r>
            <a:rPr lang="es-CR" sz="900" baseline="0">
              <a:latin typeface="+mn-lt"/>
            </a:rPr>
            <a:t>IICE con  base en información de unidades ejecutoras, DESAF  e INEC .</a:t>
          </a:r>
          <a:endParaRPr lang="es-CR" sz="900">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137584</xdr:colOff>
      <xdr:row>0</xdr:row>
      <xdr:rowOff>125941</xdr:rowOff>
    </xdr:from>
    <xdr:to>
      <xdr:col>11</xdr:col>
      <xdr:colOff>137584</xdr:colOff>
      <xdr:row>14</xdr:row>
      <xdr:rowOff>180974</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137583</xdr:colOff>
      <xdr:row>15</xdr:row>
      <xdr:rowOff>104774</xdr:rowOff>
    </xdr:from>
    <xdr:to>
      <xdr:col>12</xdr:col>
      <xdr:colOff>52917</xdr:colOff>
      <xdr:row>32</xdr:row>
      <xdr:rowOff>52916</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169333</xdr:colOff>
      <xdr:row>32</xdr:row>
      <xdr:rowOff>125940</xdr:rowOff>
    </xdr:from>
    <xdr:to>
      <xdr:col>11</xdr:col>
      <xdr:colOff>740833</xdr:colOff>
      <xdr:row>48</xdr:row>
      <xdr:rowOff>84666</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211667</xdr:colOff>
      <xdr:row>48</xdr:row>
      <xdr:rowOff>147107</xdr:rowOff>
    </xdr:from>
    <xdr:to>
      <xdr:col>11</xdr:col>
      <xdr:colOff>211667</xdr:colOff>
      <xdr:row>63</xdr:row>
      <xdr:rowOff>32807</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296332</xdr:colOff>
      <xdr:row>80</xdr:row>
      <xdr:rowOff>168275</xdr:rowOff>
    </xdr:from>
    <xdr:to>
      <xdr:col>5</xdr:col>
      <xdr:colOff>254000</xdr:colOff>
      <xdr:row>103</xdr:row>
      <xdr:rowOff>137584</xdr:rowOff>
    </xdr:to>
    <xdr:graphicFrame macro="">
      <xdr:nvGraphicFramePr>
        <xdr:cNvPr id="9" name="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402166</xdr:colOff>
      <xdr:row>63</xdr:row>
      <xdr:rowOff>178857</xdr:rowOff>
    </xdr:from>
    <xdr:to>
      <xdr:col>11</xdr:col>
      <xdr:colOff>402166</xdr:colOff>
      <xdr:row>78</xdr:row>
      <xdr:rowOff>43391</xdr:rowOff>
    </xdr:to>
    <xdr:graphicFrame macro="">
      <xdr:nvGraphicFramePr>
        <xdr:cNvPr id="10" name="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539750</xdr:colOff>
      <xdr:row>79</xdr:row>
      <xdr:rowOff>41274</xdr:rowOff>
    </xdr:from>
    <xdr:to>
      <xdr:col>12</xdr:col>
      <xdr:colOff>285749</xdr:colOff>
      <xdr:row>96</xdr:row>
      <xdr:rowOff>127000</xdr:rowOff>
    </xdr:to>
    <xdr:graphicFrame macro="">
      <xdr:nvGraphicFramePr>
        <xdr:cNvPr id="11" name="1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0.88997</cdr:y>
    </cdr:from>
    <cdr:to>
      <cdr:x>1</cdr:x>
      <cdr:y>1</cdr:y>
    </cdr:to>
    <cdr:sp macro="" textlink="">
      <cdr:nvSpPr>
        <cdr:cNvPr id="2" name="1 CuadroTexto"/>
        <cdr:cNvSpPr txBox="1"/>
      </cdr:nvSpPr>
      <cdr:spPr>
        <a:xfrm xmlns:a="http://schemas.openxmlformats.org/drawingml/2006/main">
          <a:off x="0" y="2441366"/>
          <a:ext cx="4572000" cy="3018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900">
              <a:latin typeface="+mn-lt"/>
            </a:rPr>
            <a:t>Fuente: </a:t>
          </a:r>
          <a:r>
            <a:rPr lang="es-CR" sz="900" baseline="0">
              <a:latin typeface="+mn-lt"/>
            </a:rPr>
            <a:t>IICE con  base en información de unidades ejecutoras, DESAF  e INEC .</a:t>
          </a:r>
          <a:endParaRPr lang="es-CR" sz="900">
            <a:latin typeface="+mn-lt"/>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0.03185</cdr:x>
      <cdr:y>0.90528</cdr:y>
    </cdr:from>
    <cdr:to>
      <cdr:x>0.98145</cdr:x>
      <cdr:y>1</cdr:y>
    </cdr:to>
    <cdr:sp macro="" textlink="">
      <cdr:nvSpPr>
        <cdr:cNvPr id="2" name="1 CuadroTexto"/>
        <cdr:cNvSpPr txBox="1"/>
      </cdr:nvSpPr>
      <cdr:spPr>
        <a:xfrm xmlns:a="http://schemas.openxmlformats.org/drawingml/2006/main">
          <a:off x="167217" y="2884801"/>
          <a:ext cx="4984730" cy="3018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900">
              <a:latin typeface="+mn-lt"/>
            </a:rPr>
            <a:t>Fuente: </a:t>
          </a:r>
          <a:r>
            <a:rPr lang="es-CR" sz="900" baseline="0">
              <a:latin typeface="+mn-lt"/>
            </a:rPr>
            <a:t>IICE con  base en información de unidades ejecutoras y  DESAF .</a:t>
          </a:r>
          <a:endParaRPr lang="es-CR" sz="900">
            <a:latin typeface="+mn-lt"/>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0.03087</cdr:x>
      <cdr:y>0.89961</cdr:y>
    </cdr:from>
    <cdr:to>
      <cdr:x>1</cdr:x>
      <cdr:y>1</cdr:y>
    </cdr:to>
    <cdr:sp macro="" textlink="">
      <cdr:nvSpPr>
        <cdr:cNvPr id="2" name="1 CuadroTexto"/>
        <cdr:cNvSpPr txBox="1"/>
      </cdr:nvSpPr>
      <cdr:spPr>
        <a:xfrm xmlns:a="http://schemas.openxmlformats.org/drawingml/2006/main">
          <a:off x="158770" y="2704885"/>
          <a:ext cx="4984730" cy="3018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900">
              <a:latin typeface="+mn-lt"/>
            </a:rPr>
            <a:t>Fuente: </a:t>
          </a:r>
          <a:r>
            <a:rPr lang="es-CR" sz="900" baseline="0">
              <a:latin typeface="+mn-lt"/>
            </a:rPr>
            <a:t>IICE con  base en información de unidades ejecutoras  y  DESAF .</a:t>
          </a:r>
          <a:endParaRPr lang="es-CR" sz="900">
            <a:latin typeface="+mn-lt"/>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cdr:x>
      <cdr:y>0.88997</cdr:y>
    </cdr:from>
    <cdr:to>
      <cdr:x>1</cdr:x>
      <cdr:y>1</cdr:y>
    </cdr:to>
    <cdr:sp macro="" textlink="">
      <cdr:nvSpPr>
        <cdr:cNvPr id="2" name="1 CuadroTexto"/>
        <cdr:cNvSpPr txBox="1"/>
      </cdr:nvSpPr>
      <cdr:spPr>
        <a:xfrm xmlns:a="http://schemas.openxmlformats.org/drawingml/2006/main">
          <a:off x="0" y="2441366"/>
          <a:ext cx="4572000" cy="3018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900">
              <a:latin typeface="+mn-lt"/>
            </a:rPr>
            <a:t>Fuente: </a:t>
          </a:r>
          <a:r>
            <a:rPr lang="es-CR" sz="900" baseline="0">
              <a:latin typeface="+mn-lt"/>
            </a:rPr>
            <a:t>IICE con  base en información de unidades ejecutoras, DESAF  e INEC .</a:t>
          </a:r>
          <a:endParaRPr lang="es-CR" sz="900">
            <a:latin typeface="+mn-lt"/>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0.12379</cdr:x>
      <cdr:y>0.93062</cdr:y>
    </cdr:from>
    <cdr:to>
      <cdr:x>0.72608</cdr:x>
      <cdr:y>1</cdr:y>
    </cdr:to>
    <cdr:sp macro="" textlink="">
      <cdr:nvSpPr>
        <cdr:cNvPr id="2" name="1 CuadroTexto"/>
        <cdr:cNvSpPr txBox="1"/>
      </cdr:nvSpPr>
      <cdr:spPr>
        <a:xfrm xmlns:a="http://schemas.openxmlformats.org/drawingml/2006/main">
          <a:off x="1024466" y="4048968"/>
          <a:ext cx="4984730" cy="3018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900">
              <a:latin typeface="+mn-lt"/>
            </a:rPr>
            <a:t>Fuente: </a:t>
          </a:r>
          <a:r>
            <a:rPr lang="es-CR" sz="900" baseline="0">
              <a:latin typeface="+mn-lt"/>
            </a:rPr>
            <a:t>IICE con  base en información de unidades ejecutoras y  DESAF .</a:t>
          </a:r>
          <a:endParaRPr lang="es-CR" sz="900">
            <a:latin typeface="+mn-lt"/>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0.88997</cdr:y>
    </cdr:from>
    <cdr:to>
      <cdr:x>1</cdr:x>
      <cdr:y>1</cdr:y>
    </cdr:to>
    <cdr:sp macro="" textlink="">
      <cdr:nvSpPr>
        <cdr:cNvPr id="2" name="1 CuadroTexto"/>
        <cdr:cNvSpPr txBox="1"/>
      </cdr:nvSpPr>
      <cdr:spPr>
        <a:xfrm xmlns:a="http://schemas.openxmlformats.org/drawingml/2006/main">
          <a:off x="0" y="2441359"/>
          <a:ext cx="4572000" cy="3018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900">
              <a:latin typeface="+mn-lt"/>
            </a:rPr>
            <a:t>Fuente: </a:t>
          </a:r>
          <a:r>
            <a:rPr lang="es-CR" sz="900" baseline="0">
              <a:latin typeface="+mn-lt"/>
            </a:rPr>
            <a:t>IICE con  base en información de unidades ejecutoras  y  DESAF .</a:t>
          </a:r>
          <a:endParaRPr lang="es-CR" sz="900">
            <a:latin typeface="+mn-lt"/>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0.01875</cdr:x>
      <cdr:y>0.9092</cdr:y>
    </cdr:from>
    <cdr:to>
      <cdr:x>1</cdr:x>
      <cdr:y>1</cdr:y>
    </cdr:to>
    <cdr:sp macro="" textlink="">
      <cdr:nvSpPr>
        <cdr:cNvPr id="2" name="1 CuadroTexto"/>
        <cdr:cNvSpPr txBox="1"/>
      </cdr:nvSpPr>
      <cdr:spPr>
        <a:xfrm xmlns:a="http://schemas.openxmlformats.org/drawingml/2006/main">
          <a:off x="95269" y="3022385"/>
          <a:ext cx="4984730" cy="3018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900">
              <a:latin typeface="+mn-lt"/>
            </a:rPr>
            <a:t>Fuente: </a:t>
          </a:r>
          <a:r>
            <a:rPr lang="es-CR" sz="900" baseline="0">
              <a:latin typeface="+mn-lt"/>
            </a:rPr>
            <a:t>IICE con  base en información de unidades ejecutoras  y  DESAF .</a:t>
          </a:r>
          <a:endParaRPr lang="es-CR" sz="900">
            <a:latin typeface="+mn-lt"/>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3"/>
  <sheetViews>
    <sheetView zoomScaleNormal="100" workbookViewId="0">
      <pane ySplit="5" topLeftCell="A6" activePane="bottomLeft" state="frozen"/>
      <selection activeCell="G60" sqref="G60"/>
      <selection pane="bottomLeft" activeCell="G141" sqref="G141"/>
    </sheetView>
  </sheetViews>
  <sheetFormatPr baseColWidth="10" defaultRowHeight="15" x14ac:dyDescent="0.25"/>
  <cols>
    <col min="1" max="1" width="50.5703125" style="9" customWidth="1"/>
    <col min="2" max="3" width="16.85546875" style="9" bestFit="1" customWidth="1"/>
    <col min="4" max="4" width="14.140625" style="9" customWidth="1"/>
    <col min="5" max="5" width="21.85546875" style="9" bestFit="1" customWidth="1"/>
    <col min="6" max="7" width="11.42578125" style="9"/>
    <col min="8" max="8" width="12.7109375" style="9" bestFit="1" customWidth="1"/>
    <col min="9" max="9" width="11.42578125" style="9"/>
    <col min="10" max="13" width="11.5703125" style="9" bestFit="1" customWidth="1"/>
    <col min="14" max="16384" width="11.42578125" style="9"/>
  </cols>
  <sheetData>
    <row r="2" spans="1:6" x14ac:dyDescent="0.25">
      <c r="A2" s="28" t="s">
        <v>112</v>
      </c>
      <c r="B2" s="28"/>
      <c r="C2" s="28"/>
      <c r="D2" s="28"/>
      <c r="E2" s="28"/>
    </row>
    <row r="4" spans="1:6" x14ac:dyDescent="0.25">
      <c r="A4" s="25" t="s">
        <v>0</v>
      </c>
      <c r="B4" s="10" t="s">
        <v>1</v>
      </c>
      <c r="C4" s="27" t="s">
        <v>2</v>
      </c>
      <c r="D4" s="27"/>
      <c r="E4" s="27"/>
    </row>
    <row r="5" spans="1:6" ht="15.75" thickBot="1" x14ac:dyDescent="0.3">
      <c r="A5" s="26"/>
      <c r="B5" s="11" t="s">
        <v>124</v>
      </c>
      <c r="C5" s="11" t="s">
        <v>4</v>
      </c>
      <c r="D5" s="11" t="s">
        <v>5</v>
      </c>
      <c r="E5" s="11" t="s">
        <v>46</v>
      </c>
      <c r="F5" s="12"/>
    </row>
    <row r="6" spans="1:6" ht="15.75" thickTop="1" x14ac:dyDescent="0.25">
      <c r="F6" s="12"/>
    </row>
    <row r="7" spans="1:6" x14ac:dyDescent="0.25">
      <c r="A7" s="13" t="s">
        <v>6</v>
      </c>
    </row>
    <row r="9" spans="1:6" x14ac:dyDescent="0.25">
      <c r="A9" s="9" t="s">
        <v>7</v>
      </c>
    </row>
    <row r="10" spans="1:6" x14ac:dyDescent="0.25">
      <c r="A10" s="9" t="s">
        <v>8</v>
      </c>
      <c r="B10" s="14">
        <f>SUM(C10:E10)</f>
        <v>2646</v>
      </c>
      <c r="C10" s="14">
        <v>1728</v>
      </c>
      <c r="D10" s="14">
        <v>0</v>
      </c>
      <c r="E10" s="14">
        <v>918</v>
      </c>
    </row>
    <row r="11" spans="1:6" x14ac:dyDescent="0.25">
      <c r="A11" s="9" t="s">
        <v>9</v>
      </c>
      <c r="B11" s="9">
        <f t="shared" ref="B11:B19" si="0">SUM(C11:E11)</f>
        <v>2607</v>
      </c>
      <c r="C11" s="9">
        <v>1655</v>
      </c>
      <c r="D11" s="9">
        <f>D12*D13/Anual!D12</f>
        <v>0</v>
      </c>
      <c r="E11" s="14">
        <v>952</v>
      </c>
    </row>
    <row r="12" spans="1:6" x14ac:dyDescent="0.25">
      <c r="A12" s="9" t="s">
        <v>10</v>
      </c>
      <c r="B12" s="9">
        <f t="shared" si="0"/>
        <v>2625</v>
      </c>
      <c r="C12" s="9">
        <v>1641</v>
      </c>
      <c r="D12" s="9">
        <v>0</v>
      </c>
      <c r="E12" s="14">
        <v>984</v>
      </c>
    </row>
    <row r="13" spans="1:6" x14ac:dyDescent="0.25">
      <c r="A13" s="9" t="s">
        <v>11</v>
      </c>
      <c r="B13" s="14">
        <f t="shared" si="0"/>
        <v>3836</v>
      </c>
      <c r="C13" s="14">
        <v>2866</v>
      </c>
      <c r="D13" s="14">
        <v>18</v>
      </c>
      <c r="E13" s="14">
        <v>952</v>
      </c>
    </row>
    <row r="15" spans="1:6" x14ac:dyDescent="0.25">
      <c r="A15" s="9" t="s">
        <v>12</v>
      </c>
    </row>
    <row r="16" spans="1:6" x14ac:dyDescent="0.25">
      <c r="A16" s="9" t="s">
        <v>8</v>
      </c>
      <c r="B16" s="9">
        <f t="shared" si="0"/>
        <v>633179035</v>
      </c>
      <c r="C16" s="9">
        <v>132680150</v>
      </c>
      <c r="D16" s="9">
        <v>0</v>
      </c>
      <c r="E16" s="9">
        <v>500498885</v>
      </c>
    </row>
    <row r="17" spans="1:5" x14ac:dyDescent="0.25">
      <c r="A17" s="9" t="s">
        <v>9</v>
      </c>
      <c r="B17" s="9">
        <f t="shared" si="0"/>
        <v>781098999</v>
      </c>
      <c r="C17" s="9">
        <f>22172000+44519000+67045000</f>
        <v>133736000</v>
      </c>
      <c r="D17" s="9">
        <v>0</v>
      </c>
      <c r="E17" s="9">
        <f>215208997+216077001+216077001</f>
        <v>647362999</v>
      </c>
    </row>
    <row r="18" spans="1:5" x14ac:dyDescent="0.25">
      <c r="A18" s="9" t="s">
        <v>10</v>
      </c>
      <c r="B18" s="9">
        <f t="shared" si="0"/>
        <v>755052566</v>
      </c>
      <c r="C18" s="9">
        <v>143886301</v>
      </c>
      <c r="D18" s="9">
        <v>0</v>
      </c>
      <c r="E18" s="9">
        <v>611166265</v>
      </c>
    </row>
    <row r="19" spans="1:5" x14ac:dyDescent="0.25">
      <c r="A19" s="9" t="s">
        <v>11</v>
      </c>
      <c r="B19" s="9">
        <f t="shared" si="0"/>
        <v>3732079887</v>
      </c>
      <c r="C19" s="9">
        <v>1108937000</v>
      </c>
      <c r="D19" s="9">
        <v>31086876</v>
      </c>
      <c r="E19" s="9">
        <v>2592056011</v>
      </c>
    </row>
    <row r="20" spans="1:5" x14ac:dyDescent="0.25">
      <c r="A20" s="9" t="s">
        <v>13</v>
      </c>
      <c r="B20" s="9">
        <f>B18</f>
        <v>755052566</v>
      </c>
      <c r="C20" s="9">
        <f>C18</f>
        <v>143886301</v>
      </c>
      <c r="D20" s="9">
        <f>D18</f>
        <v>0</v>
      </c>
      <c r="E20" s="9">
        <f>E18</f>
        <v>611166265</v>
      </c>
    </row>
    <row r="22" spans="1:5" x14ac:dyDescent="0.25">
      <c r="A22" s="9" t="s">
        <v>14</v>
      </c>
    </row>
    <row r="23" spans="1:5" x14ac:dyDescent="0.25">
      <c r="A23" s="9" t="s">
        <v>9</v>
      </c>
      <c r="B23" s="9">
        <f>B17</f>
        <v>781098999</v>
      </c>
    </row>
    <row r="24" spans="1:5" x14ac:dyDescent="0.25">
      <c r="A24" s="9" t="s">
        <v>10</v>
      </c>
      <c r="B24" s="9">
        <v>785787104.06000006</v>
      </c>
    </row>
    <row r="26" spans="1:5" x14ac:dyDescent="0.25">
      <c r="A26" s="9" t="s">
        <v>15</v>
      </c>
    </row>
    <row r="27" spans="1:5" x14ac:dyDescent="0.25">
      <c r="A27" s="9" t="s">
        <v>16</v>
      </c>
      <c r="B27" s="23">
        <v>1.3815129374949098</v>
      </c>
      <c r="C27" s="23">
        <v>1.3815129374949098</v>
      </c>
      <c r="D27" s="23">
        <v>1.3815129374949098</v>
      </c>
      <c r="E27" s="23">
        <v>1.3815129374949098</v>
      </c>
    </row>
    <row r="28" spans="1:5" x14ac:dyDescent="0.25">
      <c r="A28" s="9" t="s">
        <v>17</v>
      </c>
      <c r="B28" s="23">
        <v>1.4459435845989319</v>
      </c>
      <c r="C28" s="23">
        <v>1.4459435845989319</v>
      </c>
      <c r="D28" s="23">
        <v>1.4459435845989319</v>
      </c>
      <c r="E28" s="23">
        <v>1.4459435845989319</v>
      </c>
    </row>
    <row r="29" spans="1:5" x14ac:dyDescent="0.25">
      <c r="A29" s="9" t="s">
        <v>18</v>
      </c>
      <c r="B29" s="9">
        <f>+C29+E29</f>
        <v>40380</v>
      </c>
      <c r="C29" s="9">
        <v>33880</v>
      </c>
      <c r="E29" s="9">
        <v>6500</v>
      </c>
    </row>
    <row r="31" spans="1:5" x14ac:dyDescent="0.25">
      <c r="A31" s="9" t="s">
        <v>19</v>
      </c>
    </row>
    <row r="32" spans="1:5" x14ac:dyDescent="0.25">
      <c r="A32" s="9" t="s">
        <v>20</v>
      </c>
      <c r="B32" s="9">
        <f>B16/B27</f>
        <v>458322913.825288</v>
      </c>
      <c r="C32" s="9">
        <f>C16/C27</f>
        <v>96039744.832638502</v>
      </c>
      <c r="D32" s="9">
        <f>D16/D27</f>
        <v>0</v>
      </c>
      <c r="E32" s="9">
        <f>E16/E27</f>
        <v>362283168.9926495</v>
      </c>
    </row>
    <row r="33" spans="1:5" x14ac:dyDescent="0.25">
      <c r="A33" s="9" t="s">
        <v>21</v>
      </c>
      <c r="B33" s="9">
        <f>B18/B28</f>
        <v>522186739.5396567</v>
      </c>
      <c r="C33" s="9">
        <f>C18/C28</f>
        <v>99510314.601873219</v>
      </c>
      <c r="D33" s="9">
        <f>D18/D28</f>
        <v>0</v>
      </c>
      <c r="E33" s="9">
        <f>E18/E28</f>
        <v>422676424.93778348</v>
      </c>
    </row>
    <row r="34" spans="1:5" x14ac:dyDescent="0.25">
      <c r="A34" s="9" t="s">
        <v>22</v>
      </c>
      <c r="B34" s="9">
        <f>B32/B10</f>
        <v>173213.49728846864</v>
      </c>
      <c r="C34" s="9">
        <f>C32/C10</f>
        <v>55578.556037406539</v>
      </c>
      <c r="D34" s="9" t="e">
        <f>D32/D10</f>
        <v>#DIV/0!</v>
      </c>
      <c r="E34" s="9">
        <f>E32/E10</f>
        <v>394643.97493752668</v>
      </c>
    </row>
    <row r="35" spans="1:5" x14ac:dyDescent="0.25">
      <c r="A35" s="9" t="s">
        <v>23</v>
      </c>
      <c r="B35" s="9">
        <f>B33/B12</f>
        <v>198928.28172939303</v>
      </c>
      <c r="C35" s="9">
        <f>C33/C12</f>
        <v>60640.045461226822</v>
      </c>
      <c r="D35" s="9" t="e">
        <f>D33/D12</f>
        <v>#DIV/0!</v>
      </c>
      <c r="E35" s="9">
        <f>E33/E12</f>
        <v>429549.2123351458</v>
      </c>
    </row>
    <row r="37" spans="1:5" x14ac:dyDescent="0.25">
      <c r="A37" s="13" t="s">
        <v>24</v>
      </c>
    </row>
    <row r="39" spans="1:5" x14ac:dyDescent="0.25">
      <c r="A39" s="9" t="s">
        <v>25</v>
      </c>
    </row>
    <row r="40" spans="1:5" x14ac:dyDescent="0.25">
      <c r="A40" s="9" t="s">
        <v>26</v>
      </c>
      <c r="B40" s="23">
        <f>B11/B29*100</f>
        <v>6.4561664190193175</v>
      </c>
      <c r="C40" s="23">
        <f>C11/C29*100</f>
        <v>4.8848878394332935</v>
      </c>
      <c r="D40" s="23" t="e">
        <f>D11/D29*100</f>
        <v>#DIV/0!</v>
      </c>
      <c r="E40" s="23">
        <f>E11/E29*100</f>
        <v>14.646153846153846</v>
      </c>
    </row>
    <row r="41" spans="1:5" x14ac:dyDescent="0.25">
      <c r="A41" s="9" t="s">
        <v>27</v>
      </c>
      <c r="B41" s="23">
        <f>B12/B29*100</f>
        <v>6.5007429420505209</v>
      </c>
      <c r="C41" s="23">
        <f>C12/C29*100</f>
        <v>4.8435655253837071</v>
      </c>
      <c r="D41" s="23" t="e">
        <f>D12/D29*100</f>
        <v>#DIV/0!</v>
      </c>
      <c r="E41" s="23">
        <f>E12/E29*100</f>
        <v>15.13846153846154</v>
      </c>
    </row>
    <row r="42" spans="1:5" x14ac:dyDescent="0.25">
      <c r="B42" s="23"/>
      <c r="C42" s="23"/>
      <c r="D42" s="23"/>
      <c r="E42" s="23"/>
    </row>
    <row r="43" spans="1:5" x14ac:dyDescent="0.25">
      <c r="A43" s="9" t="s">
        <v>28</v>
      </c>
      <c r="B43" s="23"/>
      <c r="C43" s="23"/>
      <c r="D43" s="23"/>
      <c r="E43" s="23"/>
    </row>
    <row r="44" spans="1:5" x14ac:dyDescent="0.25">
      <c r="A44" s="9" t="s">
        <v>29</v>
      </c>
      <c r="B44" s="23">
        <f>B12/B11*100</f>
        <v>100.6904487917146</v>
      </c>
      <c r="C44" s="23">
        <f>C12/C11*100</f>
        <v>99.154078549848947</v>
      </c>
      <c r="D44" s="23" t="e">
        <f>D12/D11*100</f>
        <v>#DIV/0!</v>
      </c>
      <c r="E44" s="23">
        <f>E12/E11*100</f>
        <v>103.36134453781514</v>
      </c>
    </row>
    <row r="45" spans="1:5" x14ac:dyDescent="0.25">
      <c r="A45" s="9" t="s">
        <v>30</v>
      </c>
      <c r="B45" s="23">
        <f>B18/B17*100</f>
        <v>96.665412062575186</v>
      </c>
      <c r="C45" s="23">
        <f>C18/C17*100</f>
        <v>107.58980454028833</v>
      </c>
      <c r="D45" s="23" t="e">
        <f>D18/D17*100</f>
        <v>#DIV/0!</v>
      </c>
      <c r="E45" s="23">
        <f>E18/E17*100</f>
        <v>94.408587754333482</v>
      </c>
    </row>
    <row r="46" spans="1:5" x14ac:dyDescent="0.25">
      <c r="A46" s="9" t="s">
        <v>31</v>
      </c>
      <c r="B46" s="23">
        <f>AVERAGE(B44:B45)</f>
        <v>98.677930427144901</v>
      </c>
      <c r="C46" s="23">
        <f>AVERAGE(C44:C45)</f>
        <v>103.37194154506864</v>
      </c>
      <c r="D46" s="23" t="e">
        <f>AVERAGE(D44:D45)</f>
        <v>#DIV/0!</v>
      </c>
      <c r="E46" s="23">
        <f>AVERAGE(E44:E45)</f>
        <v>98.884966146074305</v>
      </c>
    </row>
    <row r="47" spans="1:5" x14ac:dyDescent="0.25">
      <c r="B47" s="23"/>
      <c r="C47" s="23"/>
      <c r="D47" s="23"/>
      <c r="E47" s="23"/>
    </row>
    <row r="48" spans="1:5" x14ac:dyDescent="0.25">
      <c r="A48" s="9" t="s">
        <v>32</v>
      </c>
      <c r="B48" s="23"/>
      <c r="C48" s="23"/>
      <c r="D48" s="23"/>
      <c r="E48" s="23"/>
    </row>
    <row r="49" spans="1:5" x14ac:dyDescent="0.25">
      <c r="A49" s="9" t="s">
        <v>33</v>
      </c>
      <c r="B49" s="23">
        <f>B12/(B13)*100</f>
        <v>68.430656934306569</v>
      </c>
      <c r="C49" s="23">
        <f t="shared" ref="C49:E49" si="1">C12/(C13)*100</f>
        <v>57.257501744591764</v>
      </c>
      <c r="D49" s="23">
        <f t="shared" si="1"/>
        <v>0</v>
      </c>
      <c r="E49" s="23">
        <f t="shared" si="1"/>
        <v>103.36134453781514</v>
      </c>
    </row>
    <row r="50" spans="1:5" x14ac:dyDescent="0.25">
      <c r="A50" s="9" t="s">
        <v>34</v>
      </c>
      <c r="B50" s="23">
        <f>B18/B19*100</f>
        <v>20.231414890932104</v>
      </c>
      <c r="C50" s="23">
        <f>C18/C19*100</f>
        <v>12.975155576917356</v>
      </c>
      <c r="D50" s="23">
        <f>D18/D19*100</f>
        <v>0</v>
      </c>
      <c r="E50" s="23">
        <f>E18/E19*100</f>
        <v>23.578435898235689</v>
      </c>
    </row>
    <row r="51" spans="1:5" x14ac:dyDescent="0.25">
      <c r="A51" s="9" t="s">
        <v>35</v>
      </c>
      <c r="B51" s="23">
        <f>(B49+B50)/2</f>
        <v>44.331035912619335</v>
      </c>
      <c r="C51" s="23">
        <f>(C49+C50)/2</f>
        <v>35.116328660754561</v>
      </c>
      <c r="D51" s="23">
        <f>(D49+D50)/2</f>
        <v>0</v>
      </c>
      <c r="E51" s="23">
        <f>(E49+E50)/2</f>
        <v>63.469890218025412</v>
      </c>
    </row>
    <row r="52" spans="1:5" x14ac:dyDescent="0.25">
      <c r="B52" s="23"/>
      <c r="C52" s="23"/>
      <c r="D52" s="23"/>
      <c r="E52" s="23"/>
    </row>
    <row r="53" spans="1:5" x14ac:dyDescent="0.25">
      <c r="A53" s="9" t="s">
        <v>101</v>
      </c>
      <c r="B53" s="23"/>
      <c r="C53" s="23"/>
      <c r="D53" s="23"/>
      <c r="E53" s="23"/>
    </row>
    <row r="54" spans="1:5" x14ac:dyDescent="0.25">
      <c r="A54" s="9" t="s">
        <v>36</v>
      </c>
      <c r="B54" s="23">
        <f>B20/B18*100</f>
        <v>100</v>
      </c>
      <c r="C54" s="23">
        <f>C20/C18*100</f>
        <v>100</v>
      </c>
      <c r="D54" s="23" t="e">
        <f>D20/D18*100</f>
        <v>#DIV/0!</v>
      </c>
      <c r="E54" s="23">
        <f>E20/E18*100</f>
        <v>100</v>
      </c>
    </row>
    <row r="55" spans="1:5" x14ac:dyDescent="0.25">
      <c r="B55" s="23"/>
      <c r="C55" s="23"/>
      <c r="D55" s="23"/>
      <c r="E55" s="23"/>
    </row>
    <row r="56" spans="1:5" x14ac:dyDescent="0.25">
      <c r="A56" s="9" t="s">
        <v>37</v>
      </c>
      <c r="B56" s="23"/>
      <c r="C56" s="23"/>
      <c r="D56" s="23"/>
      <c r="E56" s="23"/>
    </row>
    <row r="57" spans="1:5" x14ac:dyDescent="0.25">
      <c r="A57" s="9" t="s">
        <v>38</v>
      </c>
      <c r="B57" s="23">
        <f>((B12/B10)-1)*100</f>
        <v>-0.79365079365079083</v>
      </c>
      <c r="C57" s="23">
        <f>((C12/C10)-1)*100</f>
        <v>-5.0347222222222214</v>
      </c>
      <c r="D57" s="23" t="e">
        <f>((D12/D10)-1)*100</f>
        <v>#DIV/0!</v>
      </c>
      <c r="E57" s="23">
        <f>((E12/E10)-1)*100</f>
        <v>7.1895424836601274</v>
      </c>
    </row>
    <row r="58" spans="1:5" x14ac:dyDescent="0.25">
      <c r="A58" s="9" t="s">
        <v>39</v>
      </c>
      <c r="B58" s="23">
        <f>((B33/B32)-1)*100</f>
        <v>13.934242384118178</v>
      </c>
      <c r="C58" s="23">
        <f>((C33/C32)-1)*100</f>
        <v>3.6136807477806565</v>
      </c>
      <c r="D58" s="23" t="e">
        <f>((D33/D32)-1)*100</f>
        <v>#DIV/0!</v>
      </c>
      <c r="E58" s="23">
        <f>((E33/E32)-1)*100</f>
        <v>16.670179879750169</v>
      </c>
    </row>
    <row r="59" spans="1:5" x14ac:dyDescent="0.25">
      <c r="A59" s="9" t="s">
        <v>40</v>
      </c>
      <c r="B59" s="23">
        <f>((B35/B34)-1)*100</f>
        <v>14.845716323191116</v>
      </c>
      <c r="C59" s="23">
        <f>((C35/C34)-1)*100</f>
        <v>9.1069106228915064</v>
      </c>
      <c r="D59" s="23" t="e">
        <f>((D35/D34)-1)*100</f>
        <v>#DIV/0!</v>
      </c>
      <c r="E59" s="23">
        <f>((E35/E34)-1)*100</f>
        <v>8.8447409853766867</v>
      </c>
    </row>
    <row r="61" spans="1:5" x14ac:dyDescent="0.25">
      <c r="A61" s="9" t="s">
        <v>41</v>
      </c>
    </row>
    <row r="62" spans="1:5" x14ac:dyDescent="0.25">
      <c r="A62" s="9" t="s">
        <v>125</v>
      </c>
      <c r="B62" s="9">
        <f>B17/(B11*3)</f>
        <v>99872.011123897202</v>
      </c>
      <c r="C62" s="9">
        <f t="shared" ref="C62:E62" si="2">C17/(C11*3)</f>
        <v>26935.750251762336</v>
      </c>
      <c r="D62" s="9" t="e">
        <f t="shared" si="2"/>
        <v>#DIV/0!</v>
      </c>
      <c r="E62" s="9">
        <f t="shared" si="2"/>
        <v>226667.71673669468</v>
      </c>
    </row>
    <row r="63" spans="1:5" x14ac:dyDescent="0.25">
      <c r="A63" s="9" t="s">
        <v>126</v>
      </c>
      <c r="B63" s="9">
        <f>B18/(B12*3)</f>
        <v>95879.690920634923</v>
      </c>
      <c r="C63" s="9">
        <f t="shared" ref="C63:E63" si="3">C18/(C12*3)</f>
        <v>29227.361568149503</v>
      </c>
      <c r="D63" s="9" t="e">
        <f t="shared" si="3"/>
        <v>#DIV/0!</v>
      </c>
      <c r="E63" s="9">
        <f t="shared" si="3"/>
        <v>207034.64261517616</v>
      </c>
    </row>
    <row r="64" spans="1:5" x14ac:dyDescent="0.25">
      <c r="A64" s="9" t="s">
        <v>42</v>
      </c>
      <c r="B64" s="23">
        <f>(B62/B63)*B46</f>
        <v>102.78676610942196</v>
      </c>
      <c r="C64" s="23">
        <f>(C62/C63)*C46</f>
        <v>95.266922879964739</v>
      </c>
      <c r="D64" s="23" t="e">
        <f>(D62/D63)*D46</f>
        <v>#DIV/0!</v>
      </c>
      <c r="E64" s="23">
        <f>E62/E63*E46</f>
        <v>108.26221743758072</v>
      </c>
    </row>
    <row r="65" spans="1:6" x14ac:dyDescent="0.25">
      <c r="A65" s="9" t="s">
        <v>127</v>
      </c>
      <c r="B65" s="9">
        <f>B17/B11</f>
        <v>299616.03337169159</v>
      </c>
      <c r="C65" s="9">
        <f t="shared" ref="C65:E65" si="4">C17/C11</f>
        <v>80807.250755287008</v>
      </c>
      <c r="D65" s="9" t="e">
        <f t="shared" si="4"/>
        <v>#DIV/0!</v>
      </c>
      <c r="E65" s="9">
        <f t="shared" si="4"/>
        <v>680003.15021008404</v>
      </c>
    </row>
    <row r="66" spans="1:6" x14ac:dyDescent="0.25">
      <c r="A66" s="9" t="s">
        <v>128</v>
      </c>
      <c r="B66" s="9">
        <f>B18/B12</f>
        <v>287639.07276190474</v>
      </c>
      <c r="C66" s="9">
        <f t="shared" ref="C66:E66" si="5">C18/C12</f>
        <v>87682.084704448513</v>
      </c>
      <c r="D66" s="9" t="e">
        <f t="shared" si="5"/>
        <v>#DIV/0!</v>
      </c>
      <c r="E66" s="9">
        <f t="shared" si="5"/>
        <v>621103.92784552847</v>
      </c>
    </row>
    <row r="68" spans="1:6" x14ac:dyDescent="0.25">
      <c r="A68" s="9" t="s">
        <v>43</v>
      </c>
    </row>
    <row r="69" spans="1:6" x14ac:dyDescent="0.25">
      <c r="A69" s="9" t="s">
        <v>44</v>
      </c>
      <c r="B69" s="23">
        <f>(B24/B23)*100</f>
        <v>100.60019345383901</v>
      </c>
    </row>
    <row r="70" spans="1:6" ht="15.75" thickBot="1" x14ac:dyDescent="0.3">
      <c r="A70" s="15" t="s">
        <v>45</v>
      </c>
      <c r="B70" s="24">
        <f>(B18/B24)*100</f>
        <v>96.088694011240321</v>
      </c>
      <c r="C70" s="15"/>
      <c r="D70" s="15"/>
      <c r="E70" s="15"/>
      <c r="F70" s="15"/>
    </row>
    <row r="71" spans="1:6" ht="15.75" thickTop="1" x14ac:dyDescent="0.25"/>
    <row r="72" spans="1:6" x14ac:dyDescent="0.25">
      <c r="A72" s="9" t="s">
        <v>57</v>
      </c>
    </row>
    <row r="73" spans="1:6" x14ac:dyDescent="0.25">
      <c r="A73" s="9" t="s">
        <v>58</v>
      </c>
    </row>
    <row r="74" spans="1:6" x14ac:dyDescent="0.25">
      <c r="A74" s="9" t="s">
        <v>103</v>
      </c>
    </row>
    <row r="75" spans="1:6" x14ac:dyDescent="0.25">
      <c r="A75" s="9" t="s">
        <v>59</v>
      </c>
    </row>
    <row r="76" spans="1:6" x14ac:dyDescent="0.25">
      <c r="A76" s="9" t="s">
        <v>60</v>
      </c>
    </row>
    <row r="78" spans="1:6" x14ac:dyDescent="0.25">
      <c r="A78" s="9" t="s">
        <v>106</v>
      </c>
    </row>
    <row r="79" spans="1:6" x14ac:dyDescent="0.25">
      <c r="A79" s="9" t="s">
        <v>107</v>
      </c>
    </row>
    <row r="80" spans="1:6" x14ac:dyDescent="0.25">
      <c r="A80" s="9" t="s">
        <v>114</v>
      </c>
    </row>
    <row r="81" spans="1:1" x14ac:dyDescent="0.25">
      <c r="A81" s="9" t="s">
        <v>120</v>
      </c>
    </row>
    <row r="82" spans="1:1" x14ac:dyDescent="0.25">
      <c r="A82" s="16" t="s">
        <v>121</v>
      </c>
    </row>
    <row r="83" spans="1:1" x14ac:dyDescent="0.25">
      <c r="A83" s="16" t="s">
        <v>122</v>
      </c>
    </row>
  </sheetData>
  <mergeCells count="3">
    <mergeCell ref="A4:A5"/>
    <mergeCell ref="C4:E4"/>
    <mergeCell ref="A2:E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3"/>
  <sheetViews>
    <sheetView topLeftCell="A64" workbookViewId="0">
      <selection activeCell="B65" sqref="B65:E66"/>
    </sheetView>
  </sheetViews>
  <sheetFormatPr baseColWidth="10" defaultRowHeight="15" x14ac:dyDescent="0.25"/>
  <cols>
    <col min="1" max="1" width="50.5703125" style="1" customWidth="1"/>
    <col min="2" max="3" width="15.28515625" style="1" bestFit="1" customWidth="1"/>
    <col min="4" max="4" width="13.7109375" style="1" bestFit="1" customWidth="1"/>
    <col min="5" max="5" width="21.85546875" style="1" bestFit="1" customWidth="1"/>
    <col min="6" max="6" width="11.42578125" style="1"/>
    <col min="7" max="7" width="15.28515625" style="1" bestFit="1" customWidth="1"/>
    <col min="8" max="16384" width="11.42578125" style="1"/>
  </cols>
  <sheetData>
    <row r="2" spans="1:5" x14ac:dyDescent="0.25">
      <c r="A2" s="29" t="s">
        <v>115</v>
      </c>
      <c r="B2" s="29"/>
      <c r="C2" s="29"/>
      <c r="D2" s="29"/>
      <c r="E2" s="29"/>
    </row>
    <row r="4" spans="1:5" x14ac:dyDescent="0.25">
      <c r="A4" s="30" t="s">
        <v>0</v>
      </c>
      <c r="B4" s="2" t="s">
        <v>1</v>
      </c>
      <c r="C4" s="32" t="s">
        <v>2</v>
      </c>
      <c r="D4" s="32"/>
      <c r="E4" s="32"/>
    </row>
    <row r="5" spans="1:5" ht="15.75" thickBot="1" x14ac:dyDescent="0.3">
      <c r="A5" s="31"/>
      <c r="B5" s="3" t="s">
        <v>3</v>
      </c>
      <c r="C5" s="3" t="s">
        <v>4</v>
      </c>
      <c r="D5" s="3" t="s">
        <v>5</v>
      </c>
      <c r="E5" s="3" t="s">
        <v>46</v>
      </c>
    </row>
    <row r="6" spans="1:5" ht="15.75" thickTop="1" x14ac:dyDescent="0.25"/>
    <row r="7" spans="1:5" x14ac:dyDescent="0.25">
      <c r="A7" s="4" t="s">
        <v>6</v>
      </c>
    </row>
    <row r="9" spans="1:5" x14ac:dyDescent="0.25">
      <c r="A9" s="1" t="s">
        <v>7</v>
      </c>
    </row>
    <row r="10" spans="1:5" x14ac:dyDescent="0.25">
      <c r="A10" s="1" t="s">
        <v>47</v>
      </c>
      <c r="B10" s="6">
        <f>SUM(C10:E10)</f>
        <v>3503</v>
      </c>
      <c r="C10" s="6">
        <f>485+199+114+'I Trimestre'!C10</f>
        <v>2526</v>
      </c>
      <c r="D10" s="6">
        <f>2+1+0+'I Trimestre'!D10</f>
        <v>3</v>
      </c>
      <c r="E10" s="6">
        <f>18+15+23+'I Trimestre'!E10</f>
        <v>974</v>
      </c>
    </row>
    <row r="11" spans="1:5" x14ac:dyDescent="0.25">
      <c r="A11" s="1" t="s">
        <v>48</v>
      </c>
      <c r="B11" s="7">
        <f>SUM(C11:E11)</f>
        <v>3620</v>
      </c>
      <c r="C11" s="7">
        <f>1641+410+326+236</f>
        <v>2613</v>
      </c>
      <c r="D11" s="7">
        <v>9</v>
      </c>
      <c r="E11" s="6">
        <f>984+8+6</f>
        <v>998</v>
      </c>
    </row>
    <row r="12" spans="1:5" x14ac:dyDescent="0.25">
      <c r="A12" s="1" t="s">
        <v>49</v>
      </c>
      <c r="B12" s="7">
        <f>SUM(C12:E12)</f>
        <v>3641</v>
      </c>
      <c r="C12" s="7">
        <f>975+'I Trimestre'!C12</f>
        <v>2616</v>
      </c>
      <c r="D12" s="7">
        <f>20+'I Trimestre'!D12</f>
        <v>20</v>
      </c>
      <c r="E12" s="6">
        <f>21+'I Trimestre'!E12</f>
        <v>1005</v>
      </c>
    </row>
    <row r="13" spans="1:5" x14ac:dyDescent="0.25">
      <c r="A13" s="1" t="s">
        <v>11</v>
      </c>
      <c r="B13" s="6">
        <f>SUM(C13:E13)</f>
        <v>3966</v>
      </c>
      <c r="C13" s="6">
        <f>2866+70</f>
        <v>2936</v>
      </c>
      <c r="D13" s="6">
        <f>18+11</f>
        <v>29</v>
      </c>
      <c r="E13" s="6">
        <f>952+49</f>
        <v>1001</v>
      </c>
    </row>
    <row r="15" spans="1:5" x14ac:dyDescent="0.25">
      <c r="A15" s="1" t="s">
        <v>12</v>
      </c>
    </row>
    <row r="16" spans="1:5" x14ac:dyDescent="0.25">
      <c r="A16" s="1" t="s">
        <v>47</v>
      </c>
      <c r="B16" s="7">
        <f>SUM(C16:E16)</f>
        <v>802324362</v>
      </c>
      <c r="C16" s="7">
        <f>84403050+91174700+95895000</f>
        <v>271472750</v>
      </c>
      <c r="D16" s="7">
        <f>386000+1917500+0</f>
        <v>2303500</v>
      </c>
      <c r="E16" s="7">
        <f>172051540+175751022+180745550</f>
        <v>528548112</v>
      </c>
    </row>
    <row r="17" spans="1:5" x14ac:dyDescent="0.25">
      <c r="A17" s="1" t="s">
        <v>48</v>
      </c>
      <c r="B17" s="7">
        <f>SUM(C17:E17)</f>
        <v>1339058677</v>
      </c>
      <c r="C17" s="7">
        <f>88320250+103140750+114018150</f>
        <v>305479150</v>
      </c>
      <c r="D17" s="7">
        <v>11089800</v>
      </c>
      <c r="E17" s="7">
        <f>611166265+206814721+204508741</f>
        <v>1022489727</v>
      </c>
    </row>
    <row r="18" spans="1:5" x14ac:dyDescent="0.25">
      <c r="A18" s="1" t="s">
        <v>49</v>
      </c>
      <c r="B18" s="7">
        <f>SUM(C18:E18)</f>
        <v>952307991</v>
      </c>
      <c r="C18" s="7">
        <v>303261300</v>
      </c>
      <c r="D18" s="7">
        <v>30606890</v>
      </c>
      <c r="E18" s="7">
        <v>618439801</v>
      </c>
    </row>
    <row r="19" spans="1:5" x14ac:dyDescent="0.25">
      <c r="A19" s="1" t="s">
        <v>11</v>
      </c>
      <c r="B19" s="7">
        <f>SUM(C19:E19)</f>
        <v>3732079876</v>
      </c>
      <c r="C19" s="7">
        <f>1108937000+107888351</f>
        <v>1216825351</v>
      </c>
      <c r="D19" s="7">
        <v>57423611</v>
      </c>
      <c r="E19" s="7">
        <f>2592056000-134225086</f>
        <v>2457830914</v>
      </c>
    </row>
    <row r="20" spans="1:5" x14ac:dyDescent="0.25">
      <c r="A20" s="1" t="s">
        <v>50</v>
      </c>
      <c r="B20" s="7">
        <f>B18</f>
        <v>952307991</v>
      </c>
      <c r="C20" s="7">
        <f>C18</f>
        <v>303261300</v>
      </c>
      <c r="D20" s="7">
        <f>D18</f>
        <v>30606890</v>
      </c>
      <c r="E20" s="7">
        <f>E18</f>
        <v>618439801</v>
      </c>
    </row>
    <row r="21" spans="1:5" x14ac:dyDescent="0.25">
      <c r="B21" s="7"/>
      <c r="C21" s="7"/>
      <c r="D21" s="7"/>
      <c r="E21" s="7"/>
    </row>
    <row r="22" spans="1:5" x14ac:dyDescent="0.25">
      <c r="A22" s="1" t="s">
        <v>14</v>
      </c>
      <c r="B22" s="7"/>
      <c r="C22" s="7"/>
      <c r="D22" s="7"/>
      <c r="E22" s="7"/>
    </row>
    <row r="23" spans="1:5" x14ac:dyDescent="0.25">
      <c r="A23" s="1" t="s">
        <v>48</v>
      </c>
      <c r="B23" s="7">
        <f>B17</f>
        <v>1339058677</v>
      </c>
      <c r="C23" s="7">
        <f>C17</f>
        <v>305479150</v>
      </c>
      <c r="D23" s="7">
        <f>D17</f>
        <v>11089800</v>
      </c>
      <c r="E23" s="7">
        <f>E17</f>
        <v>1022489727</v>
      </c>
    </row>
    <row r="24" spans="1:5" x14ac:dyDescent="0.25">
      <c r="A24" s="1" t="s">
        <v>49</v>
      </c>
      <c r="B24" s="7">
        <v>918657003.77999997</v>
      </c>
      <c r="C24" s="7"/>
      <c r="D24" s="7"/>
      <c r="E24" s="7"/>
    </row>
    <row r="26" spans="1:5" x14ac:dyDescent="0.25">
      <c r="A26" s="1" t="s">
        <v>15</v>
      </c>
    </row>
    <row r="27" spans="1:5" x14ac:dyDescent="0.25">
      <c r="A27" s="1" t="s">
        <v>51</v>
      </c>
      <c r="B27" s="1">
        <v>1.39</v>
      </c>
      <c r="C27" s="1">
        <v>1.39</v>
      </c>
      <c r="D27" s="1">
        <v>1.39</v>
      </c>
      <c r="E27" s="1">
        <v>1.39</v>
      </c>
    </row>
    <row r="28" spans="1:5" x14ac:dyDescent="0.25">
      <c r="A28" s="1" t="s">
        <v>52</v>
      </c>
      <c r="B28" s="1">
        <v>1.46</v>
      </c>
      <c r="C28" s="1">
        <v>1.46</v>
      </c>
      <c r="D28" s="1">
        <v>1.46</v>
      </c>
      <c r="E28" s="1">
        <v>1.46</v>
      </c>
    </row>
    <row r="29" spans="1:5" x14ac:dyDescent="0.25">
      <c r="A29" s="1" t="s">
        <v>18</v>
      </c>
      <c r="B29" s="7">
        <f>+C29+E29</f>
        <v>40380</v>
      </c>
      <c r="C29" s="7">
        <v>33880</v>
      </c>
      <c r="D29" s="7"/>
      <c r="E29" s="7">
        <v>6500</v>
      </c>
    </row>
    <row r="31" spans="1:5" x14ac:dyDescent="0.25">
      <c r="A31" s="1" t="s">
        <v>19</v>
      </c>
    </row>
    <row r="32" spans="1:5" x14ac:dyDescent="0.25">
      <c r="A32" s="1" t="s">
        <v>53</v>
      </c>
      <c r="B32" s="1">
        <f>B16/B27</f>
        <v>577211771.22302163</v>
      </c>
      <c r="C32" s="1">
        <f>C16/C27</f>
        <v>195304136.69064748</v>
      </c>
      <c r="D32" s="1">
        <f>D16/D27</f>
        <v>1657194.2446043168</v>
      </c>
      <c r="E32" s="1">
        <f>E16/E27</f>
        <v>380250440.28776979</v>
      </c>
    </row>
    <row r="33" spans="1:5" x14ac:dyDescent="0.25">
      <c r="A33" s="1" t="s">
        <v>54</v>
      </c>
      <c r="B33" s="1">
        <f>B18/B28</f>
        <v>652265747.26027393</v>
      </c>
      <c r="C33" s="1">
        <f>C18/C28</f>
        <v>207713219.1780822</v>
      </c>
      <c r="D33" s="1">
        <f>D18/D28</f>
        <v>20963623.287671234</v>
      </c>
      <c r="E33" s="1">
        <f>E18/E28</f>
        <v>423588904.79452056</v>
      </c>
    </row>
    <row r="34" spans="1:5" x14ac:dyDescent="0.25">
      <c r="A34" s="1" t="s">
        <v>55</v>
      </c>
      <c r="B34" s="1">
        <f>B32/B10</f>
        <v>164776.41199629506</v>
      </c>
      <c r="C34" s="1">
        <f>C32/C10</f>
        <v>77317.552134064725</v>
      </c>
      <c r="D34" s="1">
        <f>D32/D10</f>
        <v>552398.0815347723</v>
      </c>
      <c r="E34" s="1">
        <f>E32/E10</f>
        <v>390400.8627184495</v>
      </c>
    </row>
    <row r="35" spans="1:5" x14ac:dyDescent="0.25">
      <c r="A35" s="1" t="s">
        <v>56</v>
      </c>
      <c r="B35" s="1">
        <f>B33/B12</f>
        <v>179144.67104099807</v>
      </c>
      <c r="C35" s="1">
        <f>C33/C12</f>
        <v>79401.07766746261</v>
      </c>
      <c r="D35" s="1">
        <f>D33/D12</f>
        <v>1048181.1643835617</v>
      </c>
      <c r="E35" s="1">
        <f>E33/E12</f>
        <v>421481.49730798067</v>
      </c>
    </row>
    <row r="37" spans="1:5" x14ac:dyDescent="0.25">
      <c r="A37" s="4" t="s">
        <v>24</v>
      </c>
    </row>
    <row r="39" spans="1:5" x14ac:dyDescent="0.25">
      <c r="A39" s="1" t="s">
        <v>25</v>
      </c>
    </row>
    <row r="40" spans="1:5" x14ac:dyDescent="0.25">
      <c r="A40" s="1" t="s">
        <v>26</v>
      </c>
      <c r="B40" s="1">
        <f>B11/B29*100</f>
        <v>8.964834076275384</v>
      </c>
      <c r="C40" s="1">
        <f>C11/C29*100</f>
        <v>7.7125147579693039</v>
      </c>
      <c r="D40" s="1" t="e">
        <f>D11/D29*100</f>
        <v>#DIV/0!</v>
      </c>
      <c r="E40" s="1">
        <f>E11/E29*100</f>
        <v>15.353846153846154</v>
      </c>
    </row>
    <row r="41" spans="1:5" x14ac:dyDescent="0.25">
      <c r="A41" s="1" t="s">
        <v>27</v>
      </c>
      <c r="B41" s="1">
        <f>B12/B29*100</f>
        <v>9.016840019811788</v>
      </c>
      <c r="C41" s="1">
        <f>C12/C29*100</f>
        <v>7.7213695395513575</v>
      </c>
      <c r="D41" s="1" t="e">
        <f>D12/D29*100</f>
        <v>#DIV/0!</v>
      </c>
      <c r="E41" s="1">
        <f>E12/E29*100</f>
        <v>15.461538461538463</v>
      </c>
    </row>
    <row r="43" spans="1:5" x14ac:dyDescent="0.25">
      <c r="A43" s="1" t="s">
        <v>28</v>
      </c>
    </row>
    <row r="44" spans="1:5" x14ac:dyDescent="0.25">
      <c r="A44" s="1" t="s">
        <v>29</v>
      </c>
      <c r="B44" s="1">
        <f>B12/B11*100</f>
        <v>100.58011049723757</v>
      </c>
      <c r="C44" s="1">
        <f>C12/C11*100</f>
        <v>100.11481056257176</v>
      </c>
      <c r="D44" s="1">
        <f>D12/D11*100</f>
        <v>222.22222222222223</v>
      </c>
      <c r="E44" s="1">
        <f>E12/E11*100</f>
        <v>100.70140280561122</v>
      </c>
    </row>
    <row r="45" spans="1:5" x14ac:dyDescent="0.25">
      <c r="A45" s="1" t="s">
        <v>30</v>
      </c>
      <c r="B45" s="1">
        <f>B18/B17*100</f>
        <v>71.117719287218364</v>
      </c>
      <c r="C45" s="1">
        <f>C18/C17*100</f>
        <v>99.273976636376005</v>
      </c>
      <c r="D45" s="1">
        <f>D18/D17*100</f>
        <v>275.99136143122507</v>
      </c>
      <c r="E45" s="1">
        <f>E18/E17*100</f>
        <v>60.483717798760829</v>
      </c>
    </row>
    <row r="46" spans="1:5" x14ac:dyDescent="0.25">
      <c r="A46" s="1" t="s">
        <v>31</v>
      </c>
      <c r="B46" s="1">
        <f>AVERAGE(B44:B45)</f>
        <v>85.848914892227967</v>
      </c>
      <c r="C46" s="1">
        <f>AVERAGE(C44:C45)</f>
        <v>99.694393599473884</v>
      </c>
      <c r="D46" s="1">
        <f>AVERAGE(D44:D45)</f>
        <v>249.10679182672365</v>
      </c>
      <c r="E46" s="1">
        <f>AVERAGE(E44:E45)</f>
        <v>80.59256030218603</v>
      </c>
    </row>
    <row r="48" spans="1:5" x14ac:dyDescent="0.25">
      <c r="A48" s="1" t="s">
        <v>32</v>
      </c>
    </row>
    <row r="49" spans="1:5" x14ac:dyDescent="0.25">
      <c r="A49" s="1" t="s">
        <v>33</v>
      </c>
      <c r="B49" s="1">
        <f>B12/(B13)*100</f>
        <v>91.805345436207759</v>
      </c>
      <c r="C49" s="1">
        <f t="shared" ref="C49:E49" si="0">C12/(C13)*100</f>
        <v>89.10081743869209</v>
      </c>
      <c r="D49" s="1">
        <f t="shared" si="0"/>
        <v>68.965517241379317</v>
      </c>
      <c r="E49" s="1">
        <f t="shared" si="0"/>
        <v>100.3996003996004</v>
      </c>
    </row>
    <row r="50" spans="1:5" x14ac:dyDescent="0.25">
      <c r="A50" s="1" t="s">
        <v>34</v>
      </c>
      <c r="B50" s="1">
        <f>B18/B19*100</f>
        <v>25.516816966433009</v>
      </c>
      <c r="C50" s="1">
        <f>C18/C19*100</f>
        <v>24.922335793774895</v>
      </c>
      <c r="D50" s="1">
        <f>D18/D19*100</f>
        <v>53.300183438481433</v>
      </c>
      <c r="E50" s="1">
        <f>E18/E19*100</f>
        <v>25.162015721965158</v>
      </c>
    </row>
    <row r="51" spans="1:5" x14ac:dyDescent="0.25">
      <c r="A51" s="1" t="s">
        <v>35</v>
      </c>
      <c r="B51" s="1">
        <f>(B49+B50)/2</f>
        <v>58.661081201320386</v>
      </c>
      <c r="C51" s="1">
        <f>(C49+C50)/2</f>
        <v>57.011576616233491</v>
      </c>
      <c r="D51" s="1">
        <f>(D49+D50)/2</f>
        <v>61.132850339930371</v>
      </c>
      <c r="E51" s="1">
        <f>(E49+E50)/2</f>
        <v>62.780808060782782</v>
      </c>
    </row>
    <row r="53" spans="1:5" x14ac:dyDescent="0.25">
      <c r="A53" s="1" t="s">
        <v>102</v>
      </c>
    </row>
    <row r="54" spans="1:5" x14ac:dyDescent="0.25">
      <c r="A54" s="1" t="s">
        <v>36</v>
      </c>
      <c r="B54" s="1">
        <f>B20/B18*100</f>
        <v>100</v>
      </c>
      <c r="C54" s="1">
        <f>C20/C18*100</f>
        <v>100</v>
      </c>
      <c r="D54" s="1">
        <f>D20/D18*100</f>
        <v>100</v>
      </c>
      <c r="E54" s="1">
        <f>E20/E18*100</f>
        <v>100</v>
      </c>
    </row>
    <row r="56" spans="1:5" x14ac:dyDescent="0.25">
      <c r="A56" s="1" t="s">
        <v>37</v>
      </c>
    </row>
    <row r="57" spans="1:5" x14ac:dyDescent="0.25">
      <c r="A57" s="1" t="s">
        <v>38</v>
      </c>
      <c r="B57" s="1">
        <f>((B12/B10)-1)*100</f>
        <v>3.939480445332566</v>
      </c>
      <c r="C57" s="1">
        <f>((C12/C10)-1)*100</f>
        <v>3.562945368171011</v>
      </c>
      <c r="D57" s="1">
        <f>((D12/D10)-1)*100</f>
        <v>566.66666666666674</v>
      </c>
      <c r="E57" s="1">
        <f>((E12/E10)-1)*100</f>
        <v>3.1827515400410622</v>
      </c>
    </row>
    <row r="58" spans="1:5" x14ac:dyDescent="0.25">
      <c r="A58" s="1" t="s">
        <v>39</v>
      </c>
      <c r="B58" s="1">
        <f>((B33/B32)-1)*100</f>
        <v>13.002849175827546</v>
      </c>
      <c r="C58" s="1">
        <f>((C33/C32)-1)*100</f>
        <v>6.3537223008697019</v>
      </c>
      <c r="D58" s="1">
        <f>((D33/D32)-1)*100</f>
        <v>1165.0070054205778</v>
      </c>
      <c r="E58" s="1">
        <f>((E33/E32)-1)*100</f>
        <v>11.397347620150722</v>
      </c>
    </row>
    <row r="59" spans="1:5" x14ac:dyDescent="0.25">
      <c r="A59" s="1" t="s">
        <v>40</v>
      </c>
      <c r="B59" s="1">
        <f>((B35/B34)-1)*100</f>
        <v>8.7198518711683484</v>
      </c>
      <c r="C59" s="1">
        <f>((C35/C34)-1)*100</f>
        <v>2.6947639648305932</v>
      </c>
      <c r="D59" s="1">
        <f>((D35/D34)-1)*100</f>
        <v>89.751050813086678</v>
      </c>
      <c r="E59" s="1">
        <f>((E35/E34)-1)*100</f>
        <v>7.9612105293799029</v>
      </c>
    </row>
    <row r="61" spans="1:5" x14ac:dyDescent="0.25">
      <c r="A61" s="1" t="s">
        <v>41</v>
      </c>
    </row>
    <row r="62" spans="1:5" x14ac:dyDescent="0.25">
      <c r="A62" s="1" t="s">
        <v>125</v>
      </c>
      <c r="B62" s="7">
        <f>B17/(B11*3)</f>
        <v>123301.90395948435</v>
      </c>
      <c r="C62" s="7">
        <f t="shared" ref="C62:E63" si="1">C17/(C11*3)</f>
        <v>38969.147850491136</v>
      </c>
      <c r="D62" s="7">
        <f t="shared" si="1"/>
        <v>410733.33333333331</v>
      </c>
      <c r="E62" s="7">
        <f t="shared" si="1"/>
        <v>341512.93486973946</v>
      </c>
    </row>
    <row r="63" spans="1:5" x14ac:dyDescent="0.25">
      <c r="A63" s="1" t="s">
        <v>126</v>
      </c>
      <c r="B63" s="7">
        <f>B18/(B12*3)</f>
        <v>87183.739906619056</v>
      </c>
      <c r="C63" s="7">
        <f t="shared" si="1"/>
        <v>38641.85779816514</v>
      </c>
      <c r="D63" s="7">
        <f t="shared" si="1"/>
        <v>510114.83333333331</v>
      </c>
      <c r="E63" s="7">
        <f t="shared" si="1"/>
        <v>205120.99535655059</v>
      </c>
    </row>
    <row r="64" spans="1:5" x14ac:dyDescent="0.25">
      <c r="A64" s="1" t="s">
        <v>42</v>
      </c>
      <c r="B64" s="1">
        <f>(B62/B63)*B46</f>
        <v>121.41409247188983</v>
      </c>
      <c r="C64" s="1">
        <f>(C62/C63)*C46</f>
        <v>100.53878838681068</v>
      </c>
      <c r="D64" s="1">
        <f>(D62/D63)*D46</f>
        <v>200.5753533853906</v>
      </c>
      <c r="E64" s="1">
        <f>E62/E63*E46</f>
        <v>134.18129991824381</v>
      </c>
    </row>
    <row r="65" spans="1:6" x14ac:dyDescent="0.25">
      <c r="A65" s="1" t="s">
        <v>127</v>
      </c>
      <c r="B65" s="7">
        <f>B17/B11</f>
        <v>369905.71187845303</v>
      </c>
      <c r="C65" s="7">
        <f t="shared" ref="C65:E66" si="2">C17/C11</f>
        <v>116907.44355147341</v>
      </c>
      <c r="D65" s="7">
        <f t="shared" si="2"/>
        <v>1232200</v>
      </c>
      <c r="E65" s="7">
        <f t="shared" si="2"/>
        <v>1024538.8046092184</v>
      </c>
    </row>
    <row r="66" spans="1:6" x14ac:dyDescent="0.25">
      <c r="A66" s="1" t="s">
        <v>128</v>
      </c>
      <c r="B66" s="7">
        <f>B18/B12</f>
        <v>261551.21971985718</v>
      </c>
      <c r="C66" s="7">
        <f t="shared" si="2"/>
        <v>115925.57339449541</v>
      </c>
      <c r="D66" s="7">
        <f t="shared" si="2"/>
        <v>1530344.5</v>
      </c>
      <c r="E66" s="7">
        <f t="shared" si="2"/>
        <v>615362.98606965179</v>
      </c>
    </row>
    <row r="68" spans="1:6" x14ac:dyDescent="0.25">
      <c r="A68" s="1" t="s">
        <v>43</v>
      </c>
    </row>
    <row r="69" spans="1:6" x14ac:dyDescent="0.25">
      <c r="A69" s="1" t="s">
        <v>44</v>
      </c>
      <c r="B69" s="1">
        <f>(B24/B23)*100</f>
        <v>68.604686229145727</v>
      </c>
    </row>
    <row r="70" spans="1:6" ht="15.75" thickBot="1" x14ac:dyDescent="0.3">
      <c r="A70" s="5" t="s">
        <v>45</v>
      </c>
      <c r="B70" s="5">
        <f>(B18/B24)*100</f>
        <v>103.66306326316963</v>
      </c>
      <c r="C70" s="5"/>
      <c r="D70" s="5"/>
      <c r="E70" s="5"/>
      <c r="F70" s="5"/>
    </row>
    <row r="71" spans="1:6" ht="15.75" thickTop="1" x14ac:dyDescent="0.25"/>
    <row r="72" spans="1:6" x14ac:dyDescent="0.25">
      <c r="A72" s="1" t="s">
        <v>57</v>
      </c>
    </row>
    <row r="73" spans="1:6" x14ac:dyDescent="0.25">
      <c r="A73" s="1" t="s">
        <v>58</v>
      </c>
    </row>
    <row r="74" spans="1:6" x14ac:dyDescent="0.25">
      <c r="A74" s="1" t="s">
        <v>103</v>
      </c>
    </row>
    <row r="75" spans="1:6" x14ac:dyDescent="0.25">
      <c r="A75" s="1" t="s">
        <v>59</v>
      </c>
    </row>
    <row r="76" spans="1:6" x14ac:dyDescent="0.25">
      <c r="A76" s="1" t="s">
        <v>60</v>
      </c>
    </row>
    <row r="78" spans="1:6" x14ac:dyDescent="0.25">
      <c r="A78" s="1" t="s">
        <v>106</v>
      </c>
    </row>
    <row r="79" spans="1:6" x14ac:dyDescent="0.25">
      <c r="A79" s="1" t="s">
        <v>107</v>
      </c>
    </row>
    <row r="80" spans="1:6" x14ac:dyDescent="0.25">
      <c r="A80" s="1" t="s">
        <v>114</v>
      </c>
    </row>
    <row r="81" spans="1:1" x14ac:dyDescent="0.25">
      <c r="A81" s="1" t="s">
        <v>120</v>
      </c>
    </row>
    <row r="82" spans="1:1" x14ac:dyDescent="0.25">
      <c r="A82" s="8" t="s">
        <v>121</v>
      </c>
    </row>
    <row r="83" spans="1:1" x14ac:dyDescent="0.25">
      <c r="A83" s="8" t="s">
        <v>122</v>
      </c>
    </row>
  </sheetData>
  <mergeCells count="3">
    <mergeCell ref="A2:E2"/>
    <mergeCell ref="A4:A5"/>
    <mergeCell ref="C4:E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3"/>
  <sheetViews>
    <sheetView topLeftCell="A58" workbookViewId="0">
      <selection activeCell="B65" sqref="B65:E66"/>
    </sheetView>
  </sheetViews>
  <sheetFormatPr baseColWidth="10" defaultRowHeight="15" x14ac:dyDescent="0.25"/>
  <cols>
    <col min="1" max="1" width="50.5703125" style="1" customWidth="1"/>
    <col min="2" max="4" width="15.28515625" style="1" bestFit="1" customWidth="1"/>
    <col min="5" max="5" width="21.85546875" style="1" bestFit="1" customWidth="1"/>
    <col min="6" max="16384" width="11.42578125" style="1"/>
  </cols>
  <sheetData>
    <row r="2" spans="1:5" x14ac:dyDescent="0.25">
      <c r="A2" s="29" t="s">
        <v>113</v>
      </c>
      <c r="B2" s="29"/>
      <c r="C2" s="29"/>
      <c r="D2" s="29"/>
      <c r="E2" s="29"/>
    </row>
    <row r="4" spans="1:5" x14ac:dyDescent="0.25">
      <c r="A4" s="30" t="s">
        <v>0</v>
      </c>
      <c r="B4" s="2" t="s">
        <v>1</v>
      </c>
      <c r="C4" s="32" t="s">
        <v>2</v>
      </c>
      <c r="D4" s="32"/>
      <c r="E4" s="32"/>
    </row>
    <row r="5" spans="1:5" ht="15.75" thickBot="1" x14ac:dyDescent="0.3">
      <c r="A5" s="31"/>
      <c r="B5" s="3" t="s">
        <v>3</v>
      </c>
      <c r="C5" s="3" t="s">
        <v>4</v>
      </c>
      <c r="D5" s="3" t="s">
        <v>5</v>
      </c>
      <c r="E5" s="3" t="s">
        <v>46</v>
      </c>
    </row>
    <row r="6" spans="1:5" ht="15.75" thickTop="1" x14ac:dyDescent="0.25"/>
    <row r="7" spans="1:5" x14ac:dyDescent="0.25">
      <c r="A7" s="4" t="s">
        <v>6</v>
      </c>
    </row>
    <row r="9" spans="1:5" x14ac:dyDescent="0.25">
      <c r="A9" s="1" t="s">
        <v>7</v>
      </c>
    </row>
    <row r="10" spans="1:5" x14ac:dyDescent="0.25">
      <c r="A10" s="1" t="s">
        <v>61</v>
      </c>
      <c r="B10" s="6">
        <f>SUM(C10:E10)</f>
        <v>3993</v>
      </c>
      <c r="C10" s="6">
        <f>379+'II Trimestre'!C10</f>
        <v>2905</v>
      </c>
      <c r="D10" s="6">
        <f>48+'II Trimestre'!D10</f>
        <v>51</v>
      </c>
      <c r="E10" s="6">
        <f>63+'II Trimestre'!E10</f>
        <v>1037</v>
      </c>
    </row>
    <row r="11" spans="1:5" x14ac:dyDescent="0.25">
      <c r="A11" s="1" t="s">
        <v>62</v>
      </c>
      <c r="B11" s="7">
        <f>SUM(C11:E11)</f>
        <v>3914</v>
      </c>
      <c r="C11" s="7">
        <f>202+37+55+'II Trimestre'!C11</f>
        <v>2907</v>
      </c>
      <c r="D11" s="7">
        <f>'II Trimestre'!D11</f>
        <v>9</v>
      </c>
      <c r="E11" s="6">
        <f>0+'II Trimestre'!E11</f>
        <v>998</v>
      </c>
    </row>
    <row r="12" spans="1:5" x14ac:dyDescent="0.25">
      <c r="A12" s="1" t="s">
        <v>63</v>
      </c>
      <c r="B12" s="7">
        <f>SUM(C12:E12)</f>
        <v>4052</v>
      </c>
      <c r="C12" s="7">
        <f>304+'II Trimestre'!C12</f>
        <v>2920</v>
      </c>
      <c r="D12" s="7">
        <f>6+'II Trimestre'!D12</f>
        <v>26</v>
      </c>
      <c r="E12" s="6">
        <f>101+'II Trimestre'!E12</f>
        <v>1106</v>
      </c>
    </row>
    <row r="13" spans="1:5" x14ac:dyDescent="0.25">
      <c r="A13" s="1" t="s">
        <v>11</v>
      </c>
      <c r="B13" s="6">
        <f>SUM(C13:E13)</f>
        <v>3966</v>
      </c>
      <c r="C13" s="6">
        <f>2866+70</f>
        <v>2936</v>
      </c>
      <c r="D13" s="6">
        <f>18+11</f>
        <v>29</v>
      </c>
      <c r="E13" s="6">
        <f>952+49</f>
        <v>1001</v>
      </c>
    </row>
    <row r="15" spans="1:5" x14ac:dyDescent="0.25">
      <c r="A15" s="1" t="s">
        <v>12</v>
      </c>
    </row>
    <row r="16" spans="1:5" x14ac:dyDescent="0.25">
      <c r="A16" s="1" t="s">
        <v>61</v>
      </c>
      <c r="B16" s="7">
        <f>SUM(C16:E16)</f>
        <v>1009052267</v>
      </c>
      <c r="C16" s="7">
        <v>322668375</v>
      </c>
      <c r="D16" s="7">
        <v>89033075</v>
      </c>
      <c r="E16" s="7">
        <v>597350817</v>
      </c>
    </row>
    <row r="17" spans="1:5" x14ac:dyDescent="0.25">
      <c r="A17" s="1" t="s">
        <v>62</v>
      </c>
      <c r="B17" s="7">
        <f>SUM(C17:E17)</f>
        <v>993594173</v>
      </c>
      <c r="C17" s="7">
        <f>124221150+125747650+128479150</f>
        <v>378447950</v>
      </c>
      <c r="D17" s="7">
        <v>0</v>
      </c>
      <c r="E17" s="7">
        <f>205048741*3</f>
        <v>615146223</v>
      </c>
    </row>
    <row r="18" spans="1:5" x14ac:dyDescent="0.25">
      <c r="A18" s="1" t="s">
        <v>63</v>
      </c>
      <c r="B18" s="7">
        <f>SUM(C18:E18)</f>
        <v>1001054754</v>
      </c>
      <c r="C18" s="7">
        <v>361911600</v>
      </c>
      <c r="D18" s="7">
        <v>10446020</v>
      </c>
      <c r="E18" s="7">
        <v>628697134</v>
      </c>
    </row>
    <row r="19" spans="1:5" x14ac:dyDescent="0.25">
      <c r="A19" s="1" t="s">
        <v>11</v>
      </c>
      <c r="B19" s="7">
        <f>SUM(C19:E19)</f>
        <v>3732079876</v>
      </c>
      <c r="C19" s="7">
        <f>1108937000+107888351</f>
        <v>1216825351</v>
      </c>
      <c r="D19" s="7">
        <v>57423611</v>
      </c>
      <c r="E19" s="7">
        <f>2592056000-134225086</f>
        <v>2457830914</v>
      </c>
    </row>
    <row r="20" spans="1:5" x14ac:dyDescent="0.25">
      <c r="A20" s="1" t="s">
        <v>64</v>
      </c>
      <c r="B20" s="7">
        <f>B18</f>
        <v>1001054754</v>
      </c>
      <c r="C20" s="7">
        <f>C18</f>
        <v>361911600</v>
      </c>
      <c r="D20" s="7">
        <f>D18</f>
        <v>10446020</v>
      </c>
      <c r="E20" s="7">
        <f>E18</f>
        <v>628697134</v>
      </c>
    </row>
    <row r="21" spans="1:5" x14ac:dyDescent="0.25">
      <c r="B21" s="7"/>
      <c r="C21" s="7"/>
      <c r="D21" s="7"/>
      <c r="E21" s="7"/>
    </row>
    <row r="22" spans="1:5" x14ac:dyDescent="0.25">
      <c r="A22" s="1" t="s">
        <v>14</v>
      </c>
      <c r="B22" s="7"/>
      <c r="C22" s="7"/>
      <c r="D22" s="7"/>
      <c r="E22" s="7"/>
    </row>
    <row r="23" spans="1:5" x14ac:dyDescent="0.25">
      <c r="A23" s="1" t="s">
        <v>62</v>
      </c>
      <c r="B23" s="7">
        <f>B17</f>
        <v>993594173</v>
      </c>
      <c r="C23" s="7">
        <f>C17</f>
        <v>378447950</v>
      </c>
      <c r="D23" s="7">
        <f>D17</f>
        <v>0</v>
      </c>
      <c r="E23" s="7">
        <f>E17</f>
        <v>615146223</v>
      </c>
    </row>
    <row r="24" spans="1:5" x14ac:dyDescent="0.25">
      <c r="A24" s="1" t="s">
        <v>63</v>
      </c>
      <c r="B24" s="7">
        <v>1005184363.36</v>
      </c>
      <c r="C24" s="7"/>
      <c r="D24" s="7"/>
      <c r="E24" s="7"/>
    </row>
    <row r="26" spans="1:5" x14ac:dyDescent="0.25">
      <c r="A26" s="1" t="s">
        <v>15</v>
      </c>
    </row>
    <row r="27" spans="1:5" x14ac:dyDescent="0.25">
      <c r="A27" s="1" t="s">
        <v>65</v>
      </c>
      <c r="B27" s="1">
        <v>1.4042433660666667</v>
      </c>
      <c r="C27" s="1">
        <v>1.4042433660666667</v>
      </c>
      <c r="D27" s="1">
        <v>1.4042433660666667</v>
      </c>
      <c r="E27" s="1">
        <v>1.4042433660666667</v>
      </c>
    </row>
    <row r="28" spans="1:5" x14ac:dyDescent="0.25">
      <c r="A28" s="1" t="s">
        <v>66</v>
      </c>
      <c r="B28" s="1">
        <v>1.4773597119666666</v>
      </c>
      <c r="C28" s="1">
        <v>1.4773597119666666</v>
      </c>
      <c r="D28" s="1">
        <v>1.4773597119666666</v>
      </c>
      <c r="E28" s="1">
        <v>1.4773597119666666</v>
      </c>
    </row>
    <row r="29" spans="1:5" x14ac:dyDescent="0.25">
      <c r="A29" s="1" t="s">
        <v>18</v>
      </c>
      <c r="B29" s="7">
        <f>+C29+E29</f>
        <v>40380</v>
      </c>
      <c r="C29" s="7">
        <v>33880</v>
      </c>
      <c r="D29" s="7"/>
      <c r="E29" s="7">
        <v>6500</v>
      </c>
    </row>
    <row r="31" spans="1:5" x14ac:dyDescent="0.25">
      <c r="A31" s="1" t="s">
        <v>19</v>
      </c>
    </row>
    <row r="32" spans="1:5" x14ac:dyDescent="0.25">
      <c r="A32" s="1" t="s">
        <v>67</v>
      </c>
      <c r="B32" s="1">
        <f>B16/B27</f>
        <v>718573639.99973142</v>
      </c>
      <c r="C32" s="1">
        <f>C16/C27</f>
        <v>229780950.22361052</v>
      </c>
      <c r="D32" s="1">
        <f>D16/D27</f>
        <v>63402880.975955516</v>
      </c>
      <c r="E32" s="1">
        <f>E16/E27</f>
        <v>425389808.80016541</v>
      </c>
    </row>
    <row r="33" spans="1:5" x14ac:dyDescent="0.25">
      <c r="A33" s="1" t="s">
        <v>68</v>
      </c>
      <c r="B33" s="1">
        <f>B18/B28</f>
        <v>677597166.00596368</v>
      </c>
      <c r="C33" s="1">
        <f>C18/C28</f>
        <v>244971889.42442593</v>
      </c>
      <c r="D33" s="1">
        <f>D18/D28</f>
        <v>7070735.6613198966</v>
      </c>
      <c r="E33" s="1">
        <f>E18/E28</f>
        <v>425554540.92021781</v>
      </c>
    </row>
    <row r="34" spans="1:5" x14ac:dyDescent="0.25">
      <c r="A34" s="1" t="s">
        <v>69</v>
      </c>
      <c r="B34" s="1">
        <f>B32/B10</f>
        <v>179958.33708984009</v>
      </c>
      <c r="C34" s="1">
        <f>C32/C10</f>
        <v>79098.433811914118</v>
      </c>
      <c r="D34" s="1">
        <f>D32/D10</f>
        <v>1243193.7446265786</v>
      </c>
      <c r="E34" s="1">
        <f>E32/E10</f>
        <v>410211.96605609008</v>
      </c>
    </row>
    <row r="35" spans="1:5" x14ac:dyDescent="0.25">
      <c r="A35" s="1" t="s">
        <v>70</v>
      </c>
      <c r="B35" s="1">
        <f>B33/B12</f>
        <v>167225.36179811542</v>
      </c>
      <c r="C35" s="1">
        <f>C33/C12</f>
        <v>83894.482679597917</v>
      </c>
      <c r="D35" s="1">
        <f>D33/D12</f>
        <v>271951.37158922676</v>
      </c>
      <c r="E35" s="1">
        <f>E33/E12</f>
        <v>384769.02434016077</v>
      </c>
    </row>
    <row r="37" spans="1:5" x14ac:dyDescent="0.25">
      <c r="A37" s="4" t="s">
        <v>24</v>
      </c>
    </row>
    <row r="39" spans="1:5" x14ac:dyDescent="0.25">
      <c r="A39" s="1" t="s">
        <v>25</v>
      </c>
    </row>
    <row r="40" spans="1:5" x14ac:dyDescent="0.25">
      <c r="A40" s="1" t="s">
        <v>26</v>
      </c>
      <c r="B40" s="1">
        <f>B11/B29*100</f>
        <v>9.6929172857850432</v>
      </c>
      <c r="C40" s="1">
        <f>C11/C29*100</f>
        <v>8.5802833530106266</v>
      </c>
      <c r="D40" s="1" t="e">
        <f>D11/D29*100</f>
        <v>#DIV/0!</v>
      </c>
      <c r="E40" s="1">
        <f>E11/E29*100</f>
        <v>15.353846153846154</v>
      </c>
    </row>
    <row r="41" spans="1:5" x14ac:dyDescent="0.25">
      <c r="A41" s="1" t="s">
        <v>27</v>
      </c>
      <c r="B41" s="1">
        <f>B12/B29*100</f>
        <v>10.034670629024269</v>
      </c>
      <c r="C41" s="1">
        <f>C12/C29*100</f>
        <v>8.6186540731995276</v>
      </c>
      <c r="D41" s="1" t="e">
        <f>D12/D29*100</f>
        <v>#DIV/0!</v>
      </c>
      <c r="E41" s="1">
        <f>E12/E29*100</f>
        <v>17.015384615384615</v>
      </c>
    </row>
    <row r="43" spans="1:5" x14ac:dyDescent="0.25">
      <c r="A43" s="1" t="s">
        <v>28</v>
      </c>
    </row>
    <row r="44" spans="1:5" x14ac:dyDescent="0.25">
      <c r="A44" s="1" t="s">
        <v>29</v>
      </c>
      <c r="B44" s="1">
        <f>B12/B11*100</f>
        <v>103.52580480327032</v>
      </c>
      <c r="C44" s="1">
        <f>C12/C11*100</f>
        <v>100.44719642242863</v>
      </c>
      <c r="D44" s="1">
        <f>D12/D11*100</f>
        <v>288.88888888888886</v>
      </c>
      <c r="E44" s="1">
        <f>E12/E11*100</f>
        <v>110.82164328657316</v>
      </c>
    </row>
    <row r="45" spans="1:5" x14ac:dyDescent="0.25">
      <c r="A45" s="1" t="s">
        <v>30</v>
      </c>
      <c r="B45" s="1">
        <f>B18/B17*100</f>
        <v>100.75086803070452</v>
      </c>
      <c r="C45" s="1">
        <f>C18/C17*100</f>
        <v>95.630482342419882</v>
      </c>
      <c r="D45" s="1" t="e">
        <f>D18/D17*100</f>
        <v>#DIV/0!</v>
      </c>
      <c r="E45" s="1">
        <f>E18/E17*100</f>
        <v>102.20287640455854</v>
      </c>
    </row>
    <row r="46" spans="1:5" x14ac:dyDescent="0.25">
      <c r="A46" s="1" t="s">
        <v>31</v>
      </c>
      <c r="B46" s="1">
        <f>AVERAGE(B44:B45)</f>
        <v>102.13833641698741</v>
      </c>
      <c r="C46" s="1">
        <f>AVERAGE(C44:C45)</f>
        <v>98.038839382424257</v>
      </c>
      <c r="D46" s="1" t="e">
        <f>AVERAGE(D44:D45)</f>
        <v>#DIV/0!</v>
      </c>
      <c r="E46" s="1">
        <f>AVERAGE(E44:E45)</f>
        <v>106.51225984556585</v>
      </c>
    </row>
    <row r="48" spans="1:5" x14ac:dyDescent="0.25">
      <c r="A48" s="1" t="s">
        <v>32</v>
      </c>
    </row>
    <row r="49" spans="1:5" x14ac:dyDescent="0.25">
      <c r="A49" s="1" t="s">
        <v>33</v>
      </c>
      <c r="B49" s="1">
        <f>B12/(B13)*100</f>
        <v>102.1684316691881</v>
      </c>
      <c r="C49" s="1">
        <f t="shared" ref="C49:E49" si="0">C12/(C13)*100</f>
        <v>99.455040871934614</v>
      </c>
      <c r="D49" s="1">
        <f t="shared" si="0"/>
        <v>89.65517241379311</v>
      </c>
      <c r="E49" s="1">
        <f t="shared" si="0"/>
        <v>110.48951048951048</v>
      </c>
    </row>
    <row r="50" spans="1:5" x14ac:dyDescent="0.25">
      <c r="A50" s="1" t="s">
        <v>34</v>
      </c>
      <c r="B50" s="1">
        <f>B18/B19*100</f>
        <v>26.822972370916105</v>
      </c>
      <c r="C50" s="1">
        <f>C18/C19*100</f>
        <v>29.742279753012806</v>
      </c>
      <c r="D50" s="1">
        <f>D18/D19*100</f>
        <v>18.191158337290911</v>
      </c>
      <c r="E50" s="1">
        <f>E18/E19*100</f>
        <v>25.5793484579794</v>
      </c>
    </row>
    <row r="51" spans="1:5" x14ac:dyDescent="0.25">
      <c r="A51" s="1" t="s">
        <v>35</v>
      </c>
      <c r="B51" s="1">
        <f>(B49+B50)/2</f>
        <v>64.495702020052107</v>
      </c>
      <c r="C51" s="1">
        <f>(C49+C50)/2</f>
        <v>64.598660312473712</v>
      </c>
      <c r="D51" s="1">
        <f>(D49+D50)/2</f>
        <v>53.923165375542013</v>
      </c>
      <c r="E51" s="1">
        <f>(E49+E50)/2</f>
        <v>68.034429473744936</v>
      </c>
    </row>
    <row r="53" spans="1:5" x14ac:dyDescent="0.25">
      <c r="A53" s="1" t="s">
        <v>102</v>
      </c>
    </row>
    <row r="54" spans="1:5" x14ac:dyDescent="0.25">
      <c r="A54" s="1" t="s">
        <v>36</v>
      </c>
      <c r="B54" s="1">
        <f>B20/B18*100</f>
        <v>100</v>
      </c>
      <c r="C54" s="1">
        <f>C20/C18*100</f>
        <v>100</v>
      </c>
      <c r="D54" s="1">
        <f>D20/D18*100</f>
        <v>100</v>
      </c>
      <c r="E54" s="1">
        <f>E20/E18*100</f>
        <v>100</v>
      </c>
    </row>
    <row r="56" spans="1:5" x14ac:dyDescent="0.25">
      <c r="A56" s="1" t="s">
        <v>37</v>
      </c>
    </row>
    <row r="57" spans="1:5" x14ac:dyDescent="0.25">
      <c r="A57" s="1" t="s">
        <v>38</v>
      </c>
      <c r="B57" s="1">
        <f>((B12/B10)-1)*100</f>
        <v>1.4775857751064381</v>
      </c>
      <c r="C57" s="1">
        <f>((C12/C10)-1)*100</f>
        <v>0.51635111876076056</v>
      </c>
      <c r="D57" s="1">
        <f>((D12/D10)-1)*100</f>
        <v>-49.019607843137258</v>
      </c>
      <c r="E57" s="1">
        <f>((E12/E10)-1)*100</f>
        <v>6.6538090646094394</v>
      </c>
    </row>
    <row r="58" spans="1:5" x14ac:dyDescent="0.25">
      <c r="A58" s="1" t="s">
        <v>39</v>
      </c>
      <c r="B58" s="1">
        <f>((B33/B32)-1)*100</f>
        <v>-5.702473861103929</v>
      </c>
      <c r="C58" s="1">
        <f>((C33/C32)-1)*100</f>
        <v>6.6110524767315937</v>
      </c>
      <c r="D58" s="1">
        <f>((D33/D32)-1)*100</f>
        <v>-88.847926856823193</v>
      </c>
      <c r="E58" s="1">
        <f>((E33/E32)-1)*100</f>
        <v>3.8724980393167741E-2</v>
      </c>
    </row>
    <row r="59" spans="1:5" x14ac:dyDescent="0.25">
      <c r="A59" s="1" t="s">
        <v>40</v>
      </c>
      <c r="B59" s="1">
        <f>((B35/B34)-1)*100</f>
        <v>-7.0755128646071146</v>
      </c>
      <c r="C59" s="1">
        <f>((C35/C34)-1)*100</f>
        <v>6.063392960584002</v>
      </c>
      <c r="D59" s="1">
        <f>((D35/D34)-1)*100</f>
        <v>-78.124779603768559</v>
      </c>
      <c r="E59" s="1">
        <f>((E35/E34)-1)*100</f>
        <v>-6.2023889650382298</v>
      </c>
    </row>
    <row r="61" spans="1:5" x14ac:dyDescent="0.25">
      <c r="A61" s="1" t="s">
        <v>41</v>
      </c>
    </row>
    <row r="62" spans="1:5" x14ac:dyDescent="0.25">
      <c r="A62" s="1" t="s">
        <v>125</v>
      </c>
      <c r="B62" s="7">
        <f>B17/(B11*3)</f>
        <v>84618.81902571964</v>
      </c>
      <c r="C62" s="7">
        <f t="shared" ref="C62:E63" si="1">C17/(C11*3)</f>
        <v>43395.017773191146</v>
      </c>
      <c r="D62" s="7">
        <f t="shared" si="1"/>
        <v>0</v>
      </c>
      <c r="E62" s="7">
        <f t="shared" si="1"/>
        <v>205459.66032064127</v>
      </c>
    </row>
    <row r="63" spans="1:5" x14ac:dyDescent="0.25">
      <c r="A63" s="1" t="s">
        <v>126</v>
      </c>
      <c r="B63" s="7">
        <f>B18/(B12*3)</f>
        <v>82350.670779861801</v>
      </c>
      <c r="C63" s="7">
        <f t="shared" si="1"/>
        <v>41314.109589041094</v>
      </c>
      <c r="D63" s="7">
        <f t="shared" si="1"/>
        <v>133923.33333333334</v>
      </c>
      <c r="E63" s="7">
        <f t="shared" si="1"/>
        <v>189480.75165762508</v>
      </c>
    </row>
    <row r="64" spans="1:5" x14ac:dyDescent="0.25">
      <c r="A64" s="1" t="s">
        <v>42</v>
      </c>
      <c r="B64" s="1">
        <f>(B62/B63)*B46</f>
        <v>104.95148762007003</v>
      </c>
      <c r="C64" s="1">
        <f>(C62/C63)*C46</f>
        <v>102.97685753808057</v>
      </c>
      <c r="D64" s="1" t="e">
        <f>(D62/D63)*D46</f>
        <v>#DIV/0!</v>
      </c>
      <c r="E64" s="1">
        <f>E62/E63*E46</f>
        <v>115.49443696210494</v>
      </c>
    </row>
    <row r="65" spans="1:6" x14ac:dyDescent="0.25">
      <c r="A65" s="1" t="s">
        <v>127</v>
      </c>
      <c r="B65" s="7">
        <f>B17/B11</f>
        <v>253856.45707715891</v>
      </c>
      <c r="C65" s="7">
        <f t="shared" ref="C65:E66" si="2">C17/C11</f>
        <v>130185.05331957345</v>
      </c>
      <c r="D65" s="7">
        <f t="shared" si="2"/>
        <v>0</v>
      </c>
      <c r="E65" s="7">
        <f t="shared" si="2"/>
        <v>616378.98096192384</v>
      </c>
    </row>
    <row r="66" spans="1:6" x14ac:dyDescent="0.25">
      <c r="A66" s="1" t="s">
        <v>128</v>
      </c>
      <c r="B66" s="7">
        <f>B18/B12</f>
        <v>247052.0123395854</v>
      </c>
      <c r="C66" s="7">
        <f t="shared" si="2"/>
        <v>123942.32876712328</v>
      </c>
      <c r="D66" s="7">
        <f t="shared" si="2"/>
        <v>401770</v>
      </c>
      <c r="E66" s="7">
        <f t="shared" si="2"/>
        <v>568442.25497287523</v>
      </c>
    </row>
    <row r="68" spans="1:6" x14ac:dyDescent="0.25">
      <c r="A68" s="1" t="s">
        <v>43</v>
      </c>
    </row>
    <row r="69" spans="1:6" x14ac:dyDescent="0.25">
      <c r="A69" s="1" t="s">
        <v>44</v>
      </c>
      <c r="B69" s="1">
        <f>(B24/B23)*100</f>
        <v>101.16649137796423</v>
      </c>
    </row>
    <row r="70" spans="1:6" ht="15.75" thickBot="1" x14ac:dyDescent="0.3">
      <c r="A70" s="5" t="s">
        <v>45</v>
      </c>
      <c r="B70" s="5">
        <f>(B18/B24)*100</f>
        <v>99.589168961383763</v>
      </c>
      <c r="C70" s="5"/>
      <c r="D70" s="5"/>
      <c r="E70" s="5"/>
      <c r="F70" s="5"/>
    </row>
    <row r="71" spans="1:6" ht="15.75" thickTop="1" x14ac:dyDescent="0.25"/>
    <row r="72" spans="1:6" x14ac:dyDescent="0.25">
      <c r="A72" s="1" t="s">
        <v>57</v>
      </c>
    </row>
    <row r="73" spans="1:6" x14ac:dyDescent="0.25">
      <c r="A73" s="1" t="s">
        <v>58</v>
      </c>
    </row>
    <row r="74" spans="1:6" x14ac:dyDescent="0.25">
      <c r="A74" s="1" t="s">
        <v>103</v>
      </c>
    </row>
    <row r="75" spans="1:6" x14ac:dyDescent="0.25">
      <c r="A75" s="1" t="s">
        <v>59</v>
      </c>
    </row>
    <row r="76" spans="1:6" x14ac:dyDescent="0.25">
      <c r="A76" s="1" t="s">
        <v>60</v>
      </c>
    </row>
    <row r="78" spans="1:6" x14ac:dyDescent="0.25">
      <c r="A78" s="1" t="s">
        <v>106</v>
      </c>
    </row>
    <row r="79" spans="1:6" x14ac:dyDescent="0.25">
      <c r="A79" s="1" t="s">
        <v>107</v>
      </c>
    </row>
    <row r="80" spans="1:6" x14ac:dyDescent="0.25">
      <c r="A80" s="1" t="s">
        <v>114</v>
      </c>
    </row>
    <row r="81" spans="1:1" x14ac:dyDescent="0.25">
      <c r="A81" s="1" t="s">
        <v>120</v>
      </c>
    </row>
    <row r="82" spans="1:1" x14ac:dyDescent="0.25">
      <c r="A82" s="8" t="s">
        <v>121</v>
      </c>
    </row>
    <row r="83" spans="1:1" x14ac:dyDescent="0.25">
      <c r="A83" s="8" t="s">
        <v>122</v>
      </c>
    </row>
  </sheetData>
  <mergeCells count="3">
    <mergeCell ref="A2:E2"/>
    <mergeCell ref="A4:A5"/>
    <mergeCell ref="C4:E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F84"/>
  <sheetViews>
    <sheetView topLeftCell="A73" workbookViewId="0">
      <selection activeCell="B65" sqref="B65:E66"/>
    </sheetView>
  </sheetViews>
  <sheetFormatPr baseColWidth="10" defaultRowHeight="15" x14ac:dyDescent="0.25"/>
  <cols>
    <col min="1" max="1" width="50.5703125" style="1" customWidth="1"/>
    <col min="2" max="4" width="15.28515625" style="1" bestFit="1" customWidth="1"/>
    <col min="5" max="5" width="21.85546875" style="1" bestFit="1" customWidth="1"/>
    <col min="6" max="6" width="11.42578125" style="1"/>
    <col min="7" max="7" width="15.28515625" style="1" bestFit="1" customWidth="1"/>
    <col min="8" max="16384" width="11.42578125" style="1"/>
  </cols>
  <sheetData>
    <row r="2" spans="1:5" x14ac:dyDescent="0.25">
      <c r="A2" s="29" t="s">
        <v>116</v>
      </c>
      <c r="B2" s="29"/>
      <c r="C2" s="29"/>
      <c r="D2" s="29"/>
      <c r="E2" s="29"/>
    </row>
    <row r="4" spans="1:5" x14ac:dyDescent="0.25">
      <c r="A4" s="30" t="s">
        <v>0</v>
      </c>
      <c r="B4" s="2" t="s">
        <v>1</v>
      </c>
      <c r="C4" s="32" t="s">
        <v>2</v>
      </c>
      <c r="D4" s="32"/>
      <c r="E4" s="32"/>
    </row>
    <row r="5" spans="1:5" ht="15.75" thickBot="1" x14ac:dyDescent="0.3">
      <c r="A5" s="31"/>
      <c r="B5" s="3" t="s">
        <v>3</v>
      </c>
      <c r="C5" s="3" t="s">
        <v>4</v>
      </c>
      <c r="D5" s="3" t="s">
        <v>5</v>
      </c>
      <c r="E5" s="3" t="s">
        <v>46</v>
      </c>
    </row>
    <row r="6" spans="1:5" ht="15.75" thickTop="1" x14ac:dyDescent="0.25"/>
    <row r="7" spans="1:5" x14ac:dyDescent="0.25">
      <c r="A7" s="4" t="s">
        <v>6</v>
      </c>
    </row>
    <row r="9" spans="1:5" x14ac:dyDescent="0.25">
      <c r="A9" s="1" t="s">
        <v>7</v>
      </c>
    </row>
    <row r="10" spans="1:5" x14ac:dyDescent="0.25">
      <c r="A10" s="1" t="s">
        <v>71</v>
      </c>
      <c r="B10" s="6">
        <f>SUM(C10:E10)</f>
        <v>4197</v>
      </c>
      <c r="C10" s="6">
        <f>64+'III Trimestre'!C10</f>
        <v>2969</v>
      </c>
      <c r="D10" s="6">
        <f>101+'III Trimestre'!D10</f>
        <v>152</v>
      </c>
      <c r="E10" s="6">
        <f>39+'III Trimestre'!E10</f>
        <v>1076</v>
      </c>
    </row>
    <row r="11" spans="1:5" x14ac:dyDescent="0.25">
      <c r="A11" s="1" t="s">
        <v>72</v>
      </c>
      <c r="B11" s="7">
        <f>SUM(C11:E11)</f>
        <v>4116</v>
      </c>
      <c r="C11" s="7">
        <v>2944</v>
      </c>
      <c r="D11" s="7">
        <v>33</v>
      </c>
      <c r="E11" s="6">
        <f>1022+117</f>
        <v>1139</v>
      </c>
    </row>
    <row r="12" spans="1:5" x14ac:dyDescent="0.25">
      <c r="A12" s="1" t="s">
        <v>73</v>
      </c>
      <c r="B12" s="7">
        <f>SUM(C12:E12)</f>
        <v>4136</v>
      </c>
      <c r="C12" s="7">
        <f>42+'III Trimestre'!C12</f>
        <v>2962</v>
      </c>
      <c r="D12" s="7">
        <f>11+'III Trimestre'!D12</f>
        <v>37</v>
      </c>
      <c r="E12" s="6">
        <f>31+'III Trimestre'!E12</f>
        <v>1137</v>
      </c>
    </row>
    <row r="13" spans="1:5" x14ac:dyDescent="0.25">
      <c r="A13" s="1" t="s">
        <v>11</v>
      </c>
      <c r="B13" s="6">
        <f>SUM(C13:E13)</f>
        <v>4116</v>
      </c>
      <c r="C13" s="6">
        <f>2866+70+8</f>
        <v>2944</v>
      </c>
      <c r="D13" s="6">
        <f>18+11+4</f>
        <v>33</v>
      </c>
      <c r="E13" s="6">
        <f>1022+117</f>
        <v>1139</v>
      </c>
    </row>
    <row r="15" spans="1:5" x14ac:dyDescent="0.25">
      <c r="A15" s="1" t="s">
        <v>12</v>
      </c>
    </row>
    <row r="16" spans="1:5" x14ac:dyDescent="0.25">
      <c r="A16" s="1" t="s">
        <v>71</v>
      </c>
      <c r="B16" s="7">
        <f>SUM(C16:E16)</f>
        <v>1182628481.25</v>
      </c>
      <c r="C16" s="7">
        <v>325338580</v>
      </c>
      <c r="D16" s="7">
        <v>175081854</v>
      </c>
      <c r="E16" s="7">
        <v>682208047.25</v>
      </c>
    </row>
    <row r="17" spans="1:5" x14ac:dyDescent="0.25">
      <c r="A17" s="1" t="s">
        <v>72</v>
      </c>
      <c r="B17" s="7">
        <f>SUM(C17:E17)</f>
        <v>1099918827.3</v>
      </c>
      <c r="C17" s="7">
        <f>126676917*3</f>
        <v>380030751</v>
      </c>
      <c r="D17" s="7">
        <v>19491177.300000001</v>
      </c>
      <c r="E17" s="7">
        <f>208483208*3+24982425*3</f>
        <v>700396899</v>
      </c>
    </row>
    <row r="18" spans="1:5" x14ac:dyDescent="0.25">
      <c r="A18" s="1" t="s">
        <v>73</v>
      </c>
      <c r="B18" s="7">
        <f>SUM(C18:E18)</f>
        <v>1059412738.7</v>
      </c>
      <c r="C18" s="7">
        <v>367328971.69999999</v>
      </c>
      <c r="D18" s="7">
        <v>20898200</v>
      </c>
      <c r="E18" s="7">
        <f>576783768+94401799</f>
        <v>671185567</v>
      </c>
    </row>
    <row r="19" spans="1:5" x14ac:dyDescent="0.25">
      <c r="A19" s="1" t="s">
        <v>11</v>
      </c>
      <c r="B19" s="7">
        <f>SUM(C19:E19)</f>
        <v>3828379610.3000002</v>
      </c>
      <c r="C19" s="7">
        <f>1108937000+107888351-25490321.6</f>
        <v>1191335029.4000001</v>
      </c>
      <c r="D19" s="7">
        <f>31086876.6+26336735+3070476.3</f>
        <v>60494087.899999999</v>
      </c>
      <c r="E19" s="7">
        <f>2480250758+96299735</f>
        <v>2576550493</v>
      </c>
    </row>
    <row r="20" spans="1:5" x14ac:dyDescent="0.25">
      <c r="A20" s="1" t="s">
        <v>74</v>
      </c>
      <c r="B20" s="7">
        <f>B18</f>
        <v>1059412738.7</v>
      </c>
      <c r="C20" s="7">
        <f>C18</f>
        <v>367328971.69999999</v>
      </c>
      <c r="D20" s="7">
        <f>D18</f>
        <v>20898200</v>
      </c>
      <c r="E20" s="7">
        <f>E18</f>
        <v>671185567</v>
      </c>
    </row>
    <row r="21" spans="1:5" x14ac:dyDescent="0.25">
      <c r="B21" s="7"/>
      <c r="C21" s="7"/>
      <c r="D21" s="7"/>
      <c r="E21" s="7"/>
    </row>
    <row r="22" spans="1:5" x14ac:dyDescent="0.25">
      <c r="A22" s="1" t="s">
        <v>14</v>
      </c>
      <c r="B22" s="7"/>
      <c r="C22" s="7"/>
      <c r="D22" s="7"/>
      <c r="E22" s="7"/>
    </row>
    <row r="23" spans="1:5" x14ac:dyDescent="0.25">
      <c r="A23" s="1" t="s">
        <v>72</v>
      </c>
      <c r="B23" s="7">
        <f>B17</f>
        <v>1099918827.3</v>
      </c>
      <c r="C23" s="7">
        <f>C17</f>
        <v>380030751</v>
      </c>
      <c r="D23" s="7">
        <f>D17</f>
        <v>19491177.300000001</v>
      </c>
      <c r="E23" s="7">
        <f>E17</f>
        <v>700396899</v>
      </c>
    </row>
    <row r="24" spans="1:5" x14ac:dyDescent="0.25">
      <c r="A24" s="1" t="s">
        <v>73</v>
      </c>
      <c r="B24" s="7">
        <v>1202306744.1099999</v>
      </c>
      <c r="C24" s="7"/>
      <c r="D24" s="7"/>
      <c r="E24" s="7"/>
    </row>
    <row r="26" spans="1:5" x14ac:dyDescent="0.25">
      <c r="A26" s="1" t="s">
        <v>15</v>
      </c>
    </row>
    <row r="27" spans="1:5" x14ac:dyDescent="0.25">
      <c r="A27" s="1" t="s">
        <v>75</v>
      </c>
      <c r="B27" s="1">
        <v>1.4207485692333333</v>
      </c>
      <c r="C27" s="1">
        <v>1.4207485692333333</v>
      </c>
      <c r="D27" s="1">
        <v>1.4207485692333333</v>
      </c>
      <c r="E27" s="1">
        <v>1.4207485692333333</v>
      </c>
    </row>
    <row r="28" spans="1:5" x14ac:dyDescent="0.25">
      <c r="A28" s="1" t="s">
        <v>76</v>
      </c>
      <c r="B28" s="1">
        <v>1.4880743485666665</v>
      </c>
      <c r="C28" s="1">
        <v>1.4880743485666665</v>
      </c>
      <c r="D28" s="1">
        <v>1.4880743485666665</v>
      </c>
      <c r="E28" s="1">
        <v>1.4880743485666665</v>
      </c>
    </row>
    <row r="29" spans="1:5" x14ac:dyDescent="0.25">
      <c r="A29" s="1" t="s">
        <v>18</v>
      </c>
      <c r="B29" s="7">
        <f>+C29+E29</f>
        <v>40380</v>
      </c>
      <c r="C29" s="7">
        <v>33880</v>
      </c>
      <c r="D29" s="7"/>
      <c r="E29" s="7">
        <v>6500</v>
      </c>
    </row>
    <row r="31" spans="1:5" x14ac:dyDescent="0.25">
      <c r="A31" s="1" t="s">
        <v>19</v>
      </c>
    </row>
    <row r="32" spans="1:5" x14ac:dyDescent="0.25">
      <c r="A32" s="1" t="s">
        <v>77</v>
      </c>
      <c r="B32" s="1">
        <f>B16/B27</f>
        <v>832398150.42585051</v>
      </c>
      <c r="C32" s="1">
        <f>C16/C27</f>
        <v>228990960.85351664</v>
      </c>
      <c r="D32" s="1">
        <f>D16/D27</f>
        <v>123232117.0624004</v>
      </c>
      <c r="E32" s="1">
        <f>E16/E27</f>
        <v>480175072.50993347</v>
      </c>
    </row>
    <row r="33" spans="1:5" x14ac:dyDescent="0.25">
      <c r="A33" s="1" t="s">
        <v>78</v>
      </c>
      <c r="B33" s="1">
        <f>B18/B28</f>
        <v>711935354.38631868</v>
      </c>
      <c r="C33" s="1">
        <f>C18/C28</f>
        <v>246848534.18366915</v>
      </c>
      <c r="D33" s="1">
        <f>D18/D28</f>
        <v>14043787.543363966</v>
      </c>
      <c r="E33" s="1">
        <f>E18/E28</f>
        <v>451043032.65928555</v>
      </c>
    </row>
    <row r="34" spans="1:5" x14ac:dyDescent="0.25">
      <c r="A34" s="1" t="s">
        <v>79</v>
      </c>
      <c r="B34" s="1">
        <f>B32/B10</f>
        <v>198331.70131661915</v>
      </c>
      <c r="C34" s="1">
        <f>C32/C10</f>
        <v>77127.302409402706</v>
      </c>
      <c r="D34" s="1">
        <f>D32/D10</f>
        <v>810737.61225263425</v>
      </c>
      <c r="E34" s="1">
        <f>E32/E10</f>
        <v>446259.36106871138</v>
      </c>
    </row>
    <row r="35" spans="1:5" x14ac:dyDescent="0.25">
      <c r="A35" s="1" t="s">
        <v>80</v>
      </c>
      <c r="B35" s="1">
        <f>B33/B12</f>
        <v>172131.37195027046</v>
      </c>
      <c r="C35" s="1">
        <f>C33/C12</f>
        <v>83338.465288207008</v>
      </c>
      <c r="D35" s="1">
        <f>D33/D12</f>
        <v>379561.82549632341</v>
      </c>
      <c r="E35" s="1">
        <f>E33/E12</f>
        <v>396695.71913745429</v>
      </c>
    </row>
    <row r="37" spans="1:5" x14ac:dyDescent="0.25">
      <c r="A37" s="4" t="s">
        <v>24</v>
      </c>
    </row>
    <row r="39" spans="1:5" x14ac:dyDescent="0.25">
      <c r="A39" s="1" t="s">
        <v>25</v>
      </c>
    </row>
    <row r="40" spans="1:5" x14ac:dyDescent="0.25">
      <c r="A40" s="1" t="s">
        <v>26</v>
      </c>
      <c r="B40" s="1">
        <f>B11/B29*100</f>
        <v>10.193164933135215</v>
      </c>
      <c r="C40" s="1">
        <f>C11/C29*100</f>
        <v>8.6894923258559622</v>
      </c>
      <c r="D40" s="1" t="e">
        <f>D11/D29*100</f>
        <v>#DIV/0!</v>
      </c>
      <c r="E40" s="1">
        <f>E11/E29*100</f>
        <v>17.523076923076921</v>
      </c>
    </row>
    <row r="41" spans="1:5" x14ac:dyDescent="0.25">
      <c r="A41" s="1" t="s">
        <v>27</v>
      </c>
      <c r="B41" s="1">
        <f>B12/B29*100</f>
        <v>10.242694403169885</v>
      </c>
      <c r="C41" s="1">
        <f>C12/C29*100</f>
        <v>8.7426210153482877</v>
      </c>
      <c r="D41" s="1" t="e">
        <f>D12/D29*100</f>
        <v>#DIV/0!</v>
      </c>
      <c r="E41" s="1">
        <f>E12/E29*100</f>
        <v>17.492307692307694</v>
      </c>
    </row>
    <row r="43" spans="1:5" x14ac:dyDescent="0.25">
      <c r="A43" s="1" t="s">
        <v>28</v>
      </c>
    </row>
    <row r="44" spans="1:5" x14ac:dyDescent="0.25">
      <c r="A44" s="1" t="s">
        <v>29</v>
      </c>
      <c r="B44" s="1">
        <f>B12/B11*100</f>
        <v>100.48590864917395</v>
      </c>
      <c r="C44" s="1">
        <f>C12/C11*100</f>
        <v>100.61141304347827</v>
      </c>
      <c r="D44" s="1">
        <f>D12/D11*100</f>
        <v>112.12121212121211</v>
      </c>
      <c r="E44" s="1">
        <f>E12/E11*100</f>
        <v>99.824407374890257</v>
      </c>
    </row>
    <row r="45" spans="1:5" x14ac:dyDescent="0.25">
      <c r="A45" s="1" t="s">
        <v>30</v>
      </c>
      <c r="B45" s="1">
        <f>B18/B17*100</f>
        <v>96.317356554444004</v>
      </c>
      <c r="C45" s="1">
        <f>C18/C17*100</f>
        <v>96.65769697147482</v>
      </c>
      <c r="D45" s="1">
        <f>D18/D17*100</f>
        <v>107.21876712906409</v>
      </c>
      <c r="E45" s="1">
        <f>E18/E17*100</f>
        <v>95.829317342537237</v>
      </c>
    </row>
    <row r="46" spans="1:5" x14ac:dyDescent="0.25">
      <c r="A46" s="1" t="s">
        <v>31</v>
      </c>
      <c r="B46" s="1">
        <f>AVERAGE(B44:B45)</f>
        <v>98.401632601808984</v>
      </c>
      <c r="C46" s="1">
        <f>AVERAGE(C44:C45)</f>
        <v>98.634555007476536</v>
      </c>
      <c r="D46" s="1">
        <f>AVERAGE(D44:D45)</f>
        <v>109.6699896251381</v>
      </c>
      <c r="E46" s="1">
        <f>AVERAGE(E44:E45)</f>
        <v>97.826862358713754</v>
      </c>
    </row>
    <row r="48" spans="1:5" x14ac:dyDescent="0.25">
      <c r="A48" s="1" t="s">
        <v>32</v>
      </c>
    </row>
    <row r="49" spans="1:5" x14ac:dyDescent="0.25">
      <c r="A49" s="1" t="s">
        <v>33</v>
      </c>
      <c r="B49" s="1">
        <f>B12/(B13)*100</f>
        <v>100.48590864917395</v>
      </c>
      <c r="C49" s="1">
        <f t="shared" ref="C49:E49" si="0">C12/(C13)*100</f>
        <v>100.61141304347827</v>
      </c>
      <c r="D49" s="1">
        <f t="shared" si="0"/>
        <v>112.12121212121211</v>
      </c>
      <c r="E49" s="1">
        <f t="shared" si="0"/>
        <v>99.824407374890257</v>
      </c>
    </row>
    <row r="50" spans="1:5" x14ac:dyDescent="0.25">
      <c r="A50" s="1" t="s">
        <v>34</v>
      </c>
      <c r="B50" s="1">
        <f>B18/B19*100</f>
        <v>27.672614697082825</v>
      </c>
      <c r="C50" s="1">
        <f>C18/C19*100</f>
        <v>30.833389654042183</v>
      </c>
      <c r="D50" s="1">
        <f>D18/D19*100</f>
        <v>34.545855182651657</v>
      </c>
      <c r="E50" s="1">
        <f>E18/E19*100</f>
        <v>26.049773479055975</v>
      </c>
    </row>
    <row r="51" spans="1:5" x14ac:dyDescent="0.25">
      <c r="A51" s="1" t="s">
        <v>35</v>
      </c>
      <c r="B51" s="1">
        <f>(B49+B50)/2</f>
        <v>64.079261673128386</v>
      </c>
      <c r="C51" s="1">
        <f>(C49+C50)/2</f>
        <v>65.722401348760229</v>
      </c>
      <c r="D51" s="1">
        <f>(D49+D50)/2</f>
        <v>73.333533651931887</v>
      </c>
      <c r="E51" s="1">
        <f>(E49+E50)/2</f>
        <v>62.937090426973114</v>
      </c>
    </row>
    <row r="53" spans="1:5" x14ac:dyDescent="0.25">
      <c r="A53" s="1" t="s">
        <v>101</v>
      </c>
    </row>
    <row r="54" spans="1:5" x14ac:dyDescent="0.25">
      <c r="A54" s="1" t="s">
        <v>36</v>
      </c>
      <c r="B54" s="1">
        <f>B20/B18*100</f>
        <v>100</v>
      </c>
      <c r="C54" s="1">
        <f>C20/C18*100</f>
        <v>100</v>
      </c>
      <c r="D54" s="1">
        <f>D20/D18*100</f>
        <v>100</v>
      </c>
      <c r="E54" s="1">
        <f>E20/E18*100</f>
        <v>100</v>
      </c>
    </row>
    <row r="56" spans="1:5" x14ac:dyDescent="0.25">
      <c r="A56" s="1" t="s">
        <v>37</v>
      </c>
    </row>
    <row r="57" spans="1:5" x14ac:dyDescent="0.25">
      <c r="A57" s="1" t="s">
        <v>38</v>
      </c>
      <c r="B57" s="1">
        <f>((B12/B10)-1)*100</f>
        <v>-1.4534191088872994</v>
      </c>
      <c r="C57" s="1">
        <f>((C12/C10)-1)*100</f>
        <v>-0.23576961940047214</v>
      </c>
      <c r="D57" s="1">
        <f>((D12/D10)-1)*100</f>
        <v>-75.657894736842096</v>
      </c>
      <c r="E57" s="1">
        <f>((E12/E10)-1)*100</f>
        <v>5.6691449814126438</v>
      </c>
    </row>
    <row r="58" spans="1:5" x14ac:dyDescent="0.25">
      <c r="A58" s="1" t="s">
        <v>39</v>
      </c>
      <c r="B58" s="1">
        <f>((B33/B32)-1)*100</f>
        <v>-14.471776033849149</v>
      </c>
      <c r="C58" s="1">
        <f>((C33/C32)-1)*100</f>
        <v>7.798374775839223</v>
      </c>
      <c r="D58" s="1">
        <f>((D33/D32)-1)*100</f>
        <v>-88.603792681535538</v>
      </c>
      <c r="E58" s="1">
        <f>((E33/E32)-1)*100</f>
        <v>-6.0669621391154731</v>
      </c>
    </row>
    <row r="59" spans="1:5" x14ac:dyDescent="0.25">
      <c r="A59" s="1" t="s">
        <v>40</v>
      </c>
      <c r="B59" s="1">
        <f>((B35/B34)-1)*100</f>
        <v>-13.210358804174305</v>
      </c>
      <c r="C59" s="1">
        <f>((C35/C34)-1)*100</f>
        <v>8.0531312320954349</v>
      </c>
      <c r="D59" s="1">
        <f>((D35/D34)-1)*100</f>
        <v>-53.183148313335195</v>
      </c>
      <c r="E59" s="1">
        <f>((E35/E34)-1)*100</f>
        <v>-11.106465489611473</v>
      </c>
    </row>
    <row r="61" spans="1:5" x14ac:dyDescent="0.25">
      <c r="A61" s="1" t="s">
        <v>41</v>
      </c>
    </row>
    <row r="62" spans="1:5" x14ac:dyDescent="0.25">
      <c r="A62" s="1" t="s">
        <v>125</v>
      </c>
      <c r="B62" s="7">
        <v>99872.011123897202</v>
      </c>
      <c r="C62" s="7">
        <v>26935.750251762336</v>
      </c>
      <c r="D62" s="7" t="e">
        <v>#DIV/0!</v>
      </c>
      <c r="E62" s="7">
        <v>226667.71673669468</v>
      </c>
    </row>
    <row r="63" spans="1:5" x14ac:dyDescent="0.25">
      <c r="A63" s="1" t="s">
        <v>126</v>
      </c>
      <c r="B63" s="7">
        <v>95879.690920634923</v>
      </c>
      <c r="C63" s="7">
        <v>29227.361568149503</v>
      </c>
      <c r="D63" s="7" t="e">
        <v>#DIV/0!</v>
      </c>
      <c r="E63" s="7">
        <v>207034.64261517616</v>
      </c>
    </row>
    <row r="64" spans="1:5" x14ac:dyDescent="0.25">
      <c r="A64" s="1" t="s">
        <v>42</v>
      </c>
      <c r="B64" s="1">
        <v>102.78676610942196</v>
      </c>
      <c r="C64" s="1">
        <v>95.266922879964739</v>
      </c>
      <c r="D64" s="1" t="e">
        <v>#DIV/0!</v>
      </c>
      <c r="E64" s="1">
        <v>108.26221743758072</v>
      </c>
    </row>
    <row r="65" spans="1:6" x14ac:dyDescent="0.25">
      <c r="A65" s="1" t="s">
        <v>127</v>
      </c>
      <c r="B65" s="7">
        <v>299616.03337169159</v>
      </c>
      <c r="C65" s="7">
        <v>80807.250755287008</v>
      </c>
      <c r="D65" s="7" t="e">
        <v>#DIV/0!</v>
      </c>
      <c r="E65" s="7">
        <v>680003.15021008404</v>
      </c>
    </row>
    <row r="66" spans="1:6" x14ac:dyDescent="0.25">
      <c r="A66" s="1" t="s">
        <v>128</v>
      </c>
      <c r="B66" s="7">
        <v>287639.07276190474</v>
      </c>
      <c r="C66" s="7">
        <v>87682.084704448513</v>
      </c>
      <c r="D66" s="7" t="e">
        <v>#DIV/0!</v>
      </c>
      <c r="E66" s="7">
        <v>621103.92784552847</v>
      </c>
    </row>
    <row r="68" spans="1:6" x14ac:dyDescent="0.25">
      <c r="A68" s="1" t="s">
        <v>43</v>
      </c>
    </row>
    <row r="69" spans="1:6" x14ac:dyDescent="0.25">
      <c r="A69" s="1" t="s">
        <v>44</v>
      </c>
      <c r="B69" s="1">
        <f>(B24/B23)*100</f>
        <v>109.30867935603341</v>
      </c>
    </row>
    <row r="70" spans="1:6" x14ac:dyDescent="0.25">
      <c r="A70" s="1" t="s">
        <v>45</v>
      </c>
      <c r="B70" s="1">
        <f>(B18/B24)*100</f>
        <v>88.115012569793393</v>
      </c>
    </row>
    <row r="71" spans="1:6" ht="15.75" thickBot="1" x14ac:dyDescent="0.3">
      <c r="A71" s="5"/>
      <c r="B71" s="5"/>
      <c r="C71" s="5"/>
      <c r="D71" s="5"/>
      <c r="E71" s="5"/>
      <c r="F71" s="5"/>
    </row>
    <row r="72" spans="1:6" ht="15.75" thickTop="1" x14ac:dyDescent="0.25"/>
    <row r="73" spans="1:6" x14ac:dyDescent="0.25">
      <c r="A73" s="1" t="s">
        <v>57</v>
      </c>
    </row>
    <row r="74" spans="1:6" x14ac:dyDescent="0.25">
      <c r="A74" s="1" t="s">
        <v>58</v>
      </c>
    </row>
    <row r="75" spans="1:6" x14ac:dyDescent="0.25">
      <c r="A75" s="1" t="s">
        <v>103</v>
      </c>
    </row>
    <row r="76" spans="1:6" x14ac:dyDescent="0.25">
      <c r="A76" s="1" t="s">
        <v>59</v>
      </c>
    </row>
    <row r="77" spans="1:6" x14ac:dyDescent="0.25">
      <c r="A77" s="1" t="s">
        <v>60</v>
      </c>
    </row>
    <row r="79" spans="1:6" x14ac:dyDescent="0.25">
      <c r="A79" s="1" t="s">
        <v>106</v>
      </c>
    </row>
    <row r="80" spans="1:6" x14ac:dyDescent="0.25">
      <c r="A80" s="1" t="s">
        <v>107</v>
      </c>
    </row>
    <row r="81" spans="1:1" x14ac:dyDescent="0.25">
      <c r="A81" s="1" t="s">
        <v>114</v>
      </c>
    </row>
    <row r="82" spans="1:1" x14ac:dyDescent="0.25">
      <c r="A82" s="1" t="s">
        <v>120</v>
      </c>
    </row>
    <row r="83" spans="1:1" x14ac:dyDescent="0.25">
      <c r="A83" s="8" t="s">
        <v>121</v>
      </c>
    </row>
    <row r="84" spans="1:1" x14ac:dyDescent="0.25">
      <c r="A84" s="8" t="s">
        <v>122</v>
      </c>
    </row>
  </sheetData>
  <mergeCells count="3">
    <mergeCell ref="A2:E2"/>
    <mergeCell ref="A4:A5"/>
    <mergeCell ref="C4:E4"/>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F84"/>
  <sheetViews>
    <sheetView topLeftCell="A70" workbookViewId="0">
      <selection activeCell="B65" sqref="B65:E66"/>
    </sheetView>
  </sheetViews>
  <sheetFormatPr baseColWidth="10" defaultRowHeight="15" x14ac:dyDescent="0.25"/>
  <cols>
    <col min="1" max="1" width="50.5703125" style="1" customWidth="1"/>
    <col min="2" max="3" width="15.28515625" style="1" bestFit="1" customWidth="1"/>
    <col min="4" max="4" width="13.7109375" style="1" bestFit="1" customWidth="1"/>
    <col min="5" max="5" width="21.85546875" style="1" bestFit="1" customWidth="1"/>
    <col min="6" max="16384" width="11.42578125" style="1"/>
  </cols>
  <sheetData>
    <row r="2" spans="1:5" x14ac:dyDescent="0.25">
      <c r="A2" s="29" t="s">
        <v>117</v>
      </c>
      <c r="B2" s="29"/>
      <c r="C2" s="29"/>
      <c r="D2" s="29"/>
      <c r="E2" s="29"/>
    </row>
    <row r="4" spans="1:5" x14ac:dyDescent="0.25">
      <c r="A4" s="30" t="s">
        <v>0</v>
      </c>
      <c r="B4" s="2" t="s">
        <v>1</v>
      </c>
      <c r="C4" s="32" t="s">
        <v>2</v>
      </c>
      <c r="D4" s="32"/>
      <c r="E4" s="32"/>
    </row>
    <row r="5" spans="1:5" ht="15.75" thickBot="1" x14ac:dyDescent="0.3">
      <c r="A5" s="31"/>
      <c r="B5" s="3" t="s">
        <v>3</v>
      </c>
      <c r="C5" s="3" t="s">
        <v>4</v>
      </c>
      <c r="D5" s="3" t="s">
        <v>5</v>
      </c>
      <c r="E5" s="3" t="s">
        <v>46</v>
      </c>
    </row>
    <row r="6" spans="1:5" ht="15.75" thickTop="1" x14ac:dyDescent="0.25"/>
    <row r="7" spans="1:5" x14ac:dyDescent="0.25">
      <c r="A7" s="4" t="s">
        <v>6</v>
      </c>
    </row>
    <row r="9" spans="1:5" x14ac:dyDescent="0.25">
      <c r="A9" s="1" t="s">
        <v>7</v>
      </c>
    </row>
    <row r="10" spans="1:5" x14ac:dyDescent="0.25">
      <c r="A10" s="1" t="s">
        <v>81</v>
      </c>
      <c r="B10" s="6">
        <f>SUM(C10:E10)</f>
        <v>3503</v>
      </c>
      <c r="C10" s="6">
        <f>'II Trimestre'!C10</f>
        <v>2526</v>
      </c>
      <c r="D10" s="6">
        <f>'II Trimestre'!D10</f>
        <v>3</v>
      </c>
      <c r="E10" s="6">
        <f>'II Trimestre'!E10</f>
        <v>974</v>
      </c>
    </row>
    <row r="11" spans="1:5" x14ac:dyDescent="0.25">
      <c r="A11" s="1" t="s">
        <v>82</v>
      </c>
      <c r="B11" s="7">
        <f>SUM(C11:E11)</f>
        <v>3620</v>
      </c>
      <c r="C11" s="7">
        <f>'II Trimestre'!C11</f>
        <v>2613</v>
      </c>
      <c r="D11" s="7">
        <f>'II Trimestre'!D11</f>
        <v>9</v>
      </c>
      <c r="E11" s="6">
        <f>'II Trimestre'!E11</f>
        <v>998</v>
      </c>
    </row>
    <row r="12" spans="1:5" x14ac:dyDescent="0.25">
      <c r="A12" s="1" t="s">
        <v>83</v>
      </c>
      <c r="B12" s="7">
        <f>SUM(C12:E12)</f>
        <v>3641</v>
      </c>
      <c r="C12" s="7">
        <f>'II Trimestre'!C12</f>
        <v>2616</v>
      </c>
      <c r="D12" s="7">
        <f>'II Trimestre'!D12</f>
        <v>20</v>
      </c>
      <c r="E12" s="6">
        <f>'II Trimestre'!E12</f>
        <v>1005</v>
      </c>
    </row>
    <row r="13" spans="1:5" x14ac:dyDescent="0.25">
      <c r="A13" s="1" t="s">
        <v>11</v>
      </c>
      <c r="B13" s="6">
        <f>SUM(C13:E13)</f>
        <v>3966</v>
      </c>
      <c r="C13" s="6">
        <f>'II Trimestre'!C13</f>
        <v>2936</v>
      </c>
      <c r="D13" s="6">
        <f>'II Trimestre'!D13</f>
        <v>29</v>
      </c>
      <c r="E13" s="6">
        <f>'II Trimestre'!E13</f>
        <v>1001</v>
      </c>
    </row>
    <row r="15" spans="1:5" x14ac:dyDescent="0.25">
      <c r="A15" s="1" t="s">
        <v>12</v>
      </c>
    </row>
    <row r="16" spans="1:5" x14ac:dyDescent="0.25">
      <c r="A16" s="1" t="s">
        <v>81</v>
      </c>
      <c r="B16" s="1">
        <f>SUM(C16:E16)</f>
        <v>1435503397</v>
      </c>
      <c r="C16" s="1">
        <f>'I Trimestre'!C16+'II Trimestre'!C16</f>
        <v>404152900</v>
      </c>
      <c r="D16" s="1">
        <f>'I Trimestre'!D16+'II Trimestre'!D16</f>
        <v>2303500</v>
      </c>
      <c r="E16" s="1">
        <f>'I Trimestre'!E16+'II Trimestre'!E16</f>
        <v>1029046997</v>
      </c>
    </row>
    <row r="17" spans="1:5" x14ac:dyDescent="0.25">
      <c r="A17" s="1" t="s">
        <v>82</v>
      </c>
      <c r="B17" s="1">
        <f>SUM(C17:E17)</f>
        <v>2120157676</v>
      </c>
      <c r="C17" s="1">
        <f>'I Trimestre'!C17+'II Trimestre'!C17</f>
        <v>439215150</v>
      </c>
      <c r="D17" s="1">
        <f>'I Trimestre'!D17+'II Trimestre'!D17</f>
        <v>11089800</v>
      </c>
      <c r="E17" s="1">
        <f>'I Trimestre'!E17+'II Trimestre'!E17</f>
        <v>1669852726</v>
      </c>
    </row>
    <row r="18" spans="1:5" x14ac:dyDescent="0.25">
      <c r="A18" s="1" t="s">
        <v>83</v>
      </c>
      <c r="B18" s="1">
        <f>SUM(C18:E18)</f>
        <v>1707360557</v>
      </c>
      <c r="C18" s="1">
        <f>'I Trimestre'!C18+'II Trimestre'!C18</f>
        <v>447147601</v>
      </c>
      <c r="D18" s="1">
        <f>'I Trimestre'!D18+'II Trimestre'!D18</f>
        <v>30606890</v>
      </c>
      <c r="E18" s="1">
        <f>'I Trimestre'!E18+'II Trimestre'!E18</f>
        <v>1229606066</v>
      </c>
    </row>
    <row r="19" spans="1:5" x14ac:dyDescent="0.25">
      <c r="A19" s="1" t="s">
        <v>11</v>
      </c>
      <c r="B19" s="1">
        <f>SUM(C19:E19)</f>
        <v>3732079876</v>
      </c>
      <c r="C19" s="1">
        <f>'II Trimestre'!C19</f>
        <v>1216825351</v>
      </c>
      <c r="D19" s="1">
        <f>'II Trimestre'!D19</f>
        <v>57423611</v>
      </c>
      <c r="E19" s="1">
        <f>'II Trimestre'!E19</f>
        <v>2457830914</v>
      </c>
    </row>
    <row r="20" spans="1:5" x14ac:dyDescent="0.25">
      <c r="A20" s="1" t="s">
        <v>84</v>
      </c>
      <c r="B20" s="1">
        <f>SUM(C20:E20)</f>
        <v>1707360557</v>
      </c>
      <c r="C20" s="1">
        <f>'I Trimestre'!C20+'II Trimestre'!C20</f>
        <v>447147601</v>
      </c>
      <c r="D20" s="1">
        <f>'I Trimestre'!D20+'II Trimestre'!D20</f>
        <v>30606890</v>
      </c>
      <c r="E20" s="1">
        <f>'I Trimestre'!E20+'II Trimestre'!E20</f>
        <v>1229606066</v>
      </c>
    </row>
    <row r="22" spans="1:5" x14ac:dyDescent="0.25">
      <c r="A22" s="1" t="s">
        <v>14</v>
      </c>
    </row>
    <row r="23" spans="1:5" x14ac:dyDescent="0.25">
      <c r="A23" s="1" t="s">
        <v>82</v>
      </c>
      <c r="B23" s="1">
        <f>B17</f>
        <v>2120157676</v>
      </c>
      <c r="C23" s="1">
        <f>C17</f>
        <v>439215150</v>
      </c>
      <c r="D23" s="1">
        <f>D17</f>
        <v>11089800</v>
      </c>
      <c r="E23" s="1">
        <f>E17</f>
        <v>1669852726</v>
      </c>
    </row>
    <row r="24" spans="1:5" x14ac:dyDescent="0.25">
      <c r="A24" s="1" t="s">
        <v>83</v>
      </c>
      <c r="B24" s="1">
        <f>'I Trimestre'!B24+'II Trimestre'!B24</f>
        <v>1704444107.8400002</v>
      </c>
    </row>
    <row r="26" spans="1:5" x14ac:dyDescent="0.25">
      <c r="A26" s="1" t="s">
        <v>15</v>
      </c>
    </row>
    <row r="27" spans="1:5" x14ac:dyDescent="0.25">
      <c r="A27" s="1" t="s">
        <v>85</v>
      </c>
      <c r="B27" s="1">
        <v>1.3875734139666667</v>
      </c>
      <c r="C27" s="1">
        <v>1.3875734139666667</v>
      </c>
      <c r="D27" s="1">
        <v>1.3875734139666667</v>
      </c>
      <c r="E27" s="1">
        <v>1.3875734139666667</v>
      </c>
    </row>
    <row r="28" spans="1:5" x14ac:dyDescent="0.25">
      <c r="A28" s="1" t="s">
        <v>86</v>
      </c>
      <c r="B28" s="1">
        <v>1.45394391315</v>
      </c>
      <c r="C28" s="1">
        <v>1.45394391315</v>
      </c>
      <c r="D28" s="1">
        <v>1.45394391315</v>
      </c>
      <c r="E28" s="1">
        <v>1.45394391315</v>
      </c>
    </row>
    <row r="29" spans="1:5" x14ac:dyDescent="0.25">
      <c r="A29" s="1" t="s">
        <v>18</v>
      </c>
      <c r="B29" s="7">
        <f>+C29+E29</f>
        <v>40380</v>
      </c>
      <c r="C29" s="7">
        <v>33880</v>
      </c>
      <c r="D29" s="7"/>
      <c r="E29" s="7">
        <v>6500</v>
      </c>
    </row>
    <row r="31" spans="1:5" x14ac:dyDescent="0.25">
      <c r="A31" s="1" t="s">
        <v>19</v>
      </c>
    </row>
    <row r="32" spans="1:5" x14ac:dyDescent="0.25">
      <c r="A32" s="1" t="s">
        <v>87</v>
      </c>
      <c r="B32" s="1">
        <f>B16/B27</f>
        <v>1034542304.2491968</v>
      </c>
      <c r="C32" s="1">
        <f>C16/C27</f>
        <v>291265958.20587611</v>
      </c>
      <c r="D32" s="1">
        <f>D16/D27</f>
        <v>1660092.3430890529</v>
      </c>
      <c r="E32" s="1">
        <f>E16/E27</f>
        <v>741616253.70023167</v>
      </c>
    </row>
    <row r="33" spans="1:5" x14ac:dyDescent="0.25">
      <c r="A33" s="1" t="s">
        <v>88</v>
      </c>
      <c r="B33" s="1">
        <f>B18/B28</f>
        <v>1174296024.4600959</v>
      </c>
      <c r="C33" s="1">
        <f>C18/C28</f>
        <v>307541162.32121038</v>
      </c>
      <c r="D33" s="1">
        <f>D18/D28</f>
        <v>21050942.696743734</v>
      </c>
      <c r="E33" s="1">
        <f>E18/E28</f>
        <v>845703919.44214177</v>
      </c>
    </row>
    <row r="34" spans="1:5" x14ac:dyDescent="0.25">
      <c r="A34" s="1" t="s">
        <v>89</v>
      </c>
      <c r="B34" s="1">
        <f>B32/B10</f>
        <v>295330.37517818919</v>
      </c>
      <c r="C34" s="1">
        <f>C32/C10</f>
        <v>115307.18852172451</v>
      </c>
      <c r="D34" s="1">
        <f>D32/D10</f>
        <v>553364.11436301761</v>
      </c>
      <c r="E34" s="1">
        <f>E32/E10</f>
        <v>761412.99147867726</v>
      </c>
    </row>
    <row r="35" spans="1:5" x14ac:dyDescent="0.25">
      <c r="A35" s="1" t="s">
        <v>90</v>
      </c>
      <c r="B35" s="1">
        <f>B33/B12</f>
        <v>322520.1934798396</v>
      </c>
      <c r="C35" s="1">
        <f>C33/C12</f>
        <v>117561.6063919</v>
      </c>
      <c r="D35" s="1">
        <f>D33/D12</f>
        <v>1052547.1348371867</v>
      </c>
      <c r="E35" s="1">
        <f>E33/E12</f>
        <v>841496.4372558624</v>
      </c>
    </row>
    <row r="37" spans="1:5" x14ac:dyDescent="0.25">
      <c r="A37" s="4" t="s">
        <v>24</v>
      </c>
    </row>
    <row r="39" spans="1:5" x14ac:dyDescent="0.25">
      <c r="A39" s="1" t="s">
        <v>25</v>
      </c>
    </row>
    <row r="40" spans="1:5" x14ac:dyDescent="0.25">
      <c r="A40" s="1" t="s">
        <v>26</v>
      </c>
      <c r="B40" s="1">
        <f>B11/B29*100</f>
        <v>8.964834076275384</v>
      </c>
      <c r="C40" s="1">
        <f>C11/C29*100</f>
        <v>7.7125147579693039</v>
      </c>
      <c r="D40" s="1" t="e">
        <f>D11/D29*100</f>
        <v>#DIV/0!</v>
      </c>
      <c r="E40" s="1">
        <f>E11/E29*100</f>
        <v>15.353846153846154</v>
      </c>
    </row>
    <row r="41" spans="1:5" x14ac:dyDescent="0.25">
      <c r="A41" s="1" t="s">
        <v>27</v>
      </c>
      <c r="B41" s="1">
        <f>B12/B29*100</f>
        <v>9.016840019811788</v>
      </c>
      <c r="C41" s="1">
        <f>C12/C29*100</f>
        <v>7.7213695395513575</v>
      </c>
      <c r="D41" s="1" t="e">
        <f>D12/D29*100</f>
        <v>#DIV/0!</v>
      </c>
      <c r="E41" s="1">
        <f>E12/E29*100</f>
        <v>15.461538461538463</v>
      </c>
    </row>
    <row r="43" spans="1:5" x14ac:dyDescent="0.25">
      <c r="A43" s="1" t="s">
        <v>28</v>
      </c>
    </row>
    <row r="44" spans="1:5" x14ac:dyDescent="0.25">
      <c r="A44" s="1" t="s">
        <v>29</v>
      </c>
      <c r="B44" s="1">
        <f>B12/B11*100</f>
        <v>100.58011049723757</v>
      </c>
      <c r="C44" s="1">
        <f>C12/C11*100</f>
        <v>100.11481056257176</v>
      </c>
      <c r="D44" s="1">
        <f>D12/D11*100</f>
        <v>222.22222222222223</v>
      </c>
      <c r="E44" s="1">
        <f>E12/E11*100</f>
        <v>100.70140280561122</v>
      </c>
    </row>
    <row r="45" spans="1:5" x14ac:dyDescent="0.25">
      <c r="A45" s="1" t="s">
        <v>30</v>
      </c>
      <c r="B45" s="1">
        <f>B18/B17*100</f>
        <v>80.529885881940416</v>
      </c>
      <c r="C45" s="1">
        <f>C18/C17*100</f>
        <v>101.80605131676354</v>
      </c>
      <c r="D45" s="1">
        <f>D18/D17*100</f>
        <v>275.99136143122507</v>
      </c>
      <c r="E45" s="1">
        <f>E18/E17*100</f>
        <v>73.635599526517765</v>
      </c>
    </row>
    <row r="46" spans="1:5" x14ac:dyDescent="0.25">
      <c r="A46" s="1" t="s">
        <v>31</v>
      </c>
      <c r="B46" s="1">
        <f>AVERAGE(B44:B45)</f>
        <v>90.554998189588986</v>
      </c>
      <c r="C46" s="1">
        <f>AVERAGE(C44:C45)</f>
        <v>100.96043093966765</v>
      </c>
      <c r="D46" s="1">
        <f>AVERAGE(D44:D45)</f>
        <v>249.10679182672365</v>
      </c>
      <c r="E46" s="1">
        <f>AVERAGE(E44:E45)</f>
        <v>87.168501166064488</v>
      </c>
    </row>
    <row r="48" spans="1:5" x14ac:dyDescent="0.25">
      <c r="A48" s="1" t="s">
        <v>32</v>
      </c>
    </row>
    <row r="49" spans="1:5" x14ac:dyDescent="0.25">
      <c r="A49" s="1" t="s">
        <v>33</v>
      </c>
      <c r="B49" s="1">
        <f>B12/(B13)*100</f>
        <v>91.805345436207759</v>
      </c>
      <c r="C49" s="1">
        <f t="shared" ref="C49:E49" si="0">C12/(C13)*100</f>
        <v>89.10081743869209</v>
      </c>
      <c r="D49" s="1">
        <f t="shared" si="0"/>
        <v>68.965517241379317</v>
      </c>
      <c r="E49" s="1">
        <f t="shared" si="0"/>
        <v>100.3996003996004</v>
      </c>
    </row>
    <row r="50" spans="1:5" x14ac:dyDescent="0.25">
      <c r="A50" s="1" t="s">
        <v>34</v>
      </c>
      <c r="B50" s="1">
        <f>B18/B19*100</f>
        <v>45.74823191699555</v>
      </c>
      <c r="C50" s="1">
        <f>C18/C19*100</f>
        <v>36.747064862885161</v>
      </c>
      <c r="D50" s="1">
        <f>D18/D19*100</f>
        <v>53.300183438481433</v>
      </c>
      <c r="E50" s="1">
        <f>E18/E19*100</f>
        <v>50.028098312055</v>
      </c>
    </row>
    <row r="51" spans="1:5" x14ac:dyDescent="0.25">
      <c r="A51" s="1" t="s">
        <v>35</v>
      </c>
      <c r="B51" s="1">
        <f>(B49+B50)/2</f>
        <v>68.776788676601655</v>
      </c>
      <c r="C51" s="1">
        <f>(C49+C50)/2</f>
        <v>62.923941150788622</v>
      </c>
      <c r="D51" s="1">
        <f>(D49+D50)/2</f>
        <v>61.132850339930371</v>
      </c>
      <c r="E51" s="1">
        <f>(E49+E50)/2</f>
        <v>75.213849355827705</v>
      </c>
    </row>
    <row r="53" spans="1:5" x14ac:dyDescent="0.25">
      <c r="A53" s="1" t="s">
        <v>102</v>
      </c>
    </row>
    <row r="54" spans="1:5" x14ac:dyDescent="0.25">
      <c r="A54" s="1" t="s">
        <v>36</v>
      </c>
      <c r="B54" s="1">
        <f>B20/B18*100</f>
        <v>100</v>
      </c>
      <c r="C54" s="1">
        <f>C20/C18*100</f>
        <v>100</v>
      </c>
      <c r="D54" s="1">
        <f>D20/D18*100</f>
        <v>100</v>
      </c>
      <c r="E54" s="1">
        <f>E20/E18*100</f>
        <v>100</v>
      </c>
    </row>
    <row r="56" spans="1:5" x14ac:dyDescent="0.25">
      <c r="A56" s="1" t="s">
        <v>37</v>
      </c>
    </row>
    <row r="57" spans="1:5" x14ac:dyDescent="0.25">
      <c r="A57" s="1" t="s">
        <v>38</v>
      </c>
      <c r="B57" s="1">
        <f>((B12/B10)-1)*100</f>
        <v>3.939480445332566</v>
      </c>
      <c r="C57" s="1">
        <f>((C12/C10)-1)*100</f>
        <v>3.562945368171011</v>
      </c>
      <c r="D57" s="1">
        <f>((D12/D10)-1)*100</f>
        <v>566.66666666666674</v>
      </c>
      <c r="E57" s="1">
        <f>((E12/E10)-1)*100</f>
        <v>3.1827515400410622</v>
      </c>
    </row>
    <row r="58" spans="1:5" x14ac:dyDescent="0.25">
      <c r="A58" s="1" t="s">
        <v>39</v>
      </c>
      <c r="B58" s="1">
        <f>((B33/B32)-1)*100</f>
        <v>13.508748713018859</v>
      </c>
      <c r="C58" s="1">
        <f>((C33/C32)-1)*100</f>
        <v>5.5877467506279643</v>
      </c>
      <c r="D58" s="1">
        <f>((D33/D32)-1)*100</f>
        <v>1168.0585380914856</v>
      </c>
      <c r="E58" s="1">
        <f>((E33/E32)-1)*100</f>
        <v>14.035246021452942</v>
      </c>
    </row>
    <row r="59" spans="1:5" x14ac:dyDescent="0.25">
      <c r="A59" s="1" t="s">
        <v>40</v>
      </c>
      <c r="B59" s="1">
        <f>((B35/B34)-1)*100</f>
        <v>9.2065769683342893</v>
      </c>
      <c r="C59" s="1">
        <f>((C35/C34)-1)*100</f>
        <v>1.9551407844366375</v>
      </c>
      <c r="D59" s="1">
        <f>((D35/D34)-1)*100</f>
        <v>90.208780713722845</v>
      </c>
      <c r="E59" s="1">
        <f>((E35/E34)-1)*100</f>
        <v>10.517740920293694</v>
      </c>
    </row>
    <row r="61" spans="1:5" x14ac:dyDescent="0.25">
      <c r="A61" s="1" t="s">
        <v>41</v>
      </c>
    </row>
    <row r="62" spans="1:5" x14ac:dyDescent="0.25">
      <c r="A62" s="1" t="s">
        <v>125</v>
      </c>
      <c r="B62" s="7">
        <f>B17/(B11*6)</f>
        <v>97613.152670349911</v>
      </c>
      <c r="C62" s="7">
        <f t="shared" ref="C62:E62" si="1">C17/(C11*6)</f>
        <v>28014.74358974359</v>
      </c>
      <c r="D62" s="7">
        <f t="shared" si="1"/>
        <v>205366.66666666666</v>
      </c>
      <c r="E62" s="7">
        <f t="shared" si="1"/>
        <v>278866.52070808283</v>
      </c>
    </row>
    <row r="63" spans="1:5" x14ac:dyDescent="0.25">
      <c r="A63" s="1" t="s">
        <v>126</v>
      </c>
      <c r="B63" s="7">
        <f>B18/(B12*6)</f>
        <v>78154.378696328844</v>
      </c>
      <c r="C63" s="7">
        <f t="shared" ref="C63:E63" si="2">C18/(C12*6)</f>
        <v>28487.997005606525</v>
      </c>
      <c r="D63" s="7">
        <f t="shared" si="2"/>
        <v>255057.41666666666</v>
      </c>
      <c r="E63" s="7">
        <f t="shared" si="2"/>
        <v>203914.77048092868</v>
      </c>
    </row>
    <row r="64" spans="1:5" x14ac:dyDescent="0.25">
      <c r="A64" s="1" t="s">
        <v>42</v>
      </c>
      <c r="B64" s="1">
        <f>(B62/B63)*B46</f>
        <v>113.1012620251157</v>
      </c>
      <c r="C64" s="1">
        <f>(C62/C63)*C46</f>
        <v>99.283237952045923</v>
      </c>
      <c r="D64" s="1">
        <f>(D62/D63)*D46</f>
        <v>200.5753533853906</v>
      </c>
      <c r="E64" s="1">
        <f>E62/E63*E46</f>
        <v>119.20851333225185</v>
      </c>
    </row>
    <row r="65" spans="1:6" x14ac:dyDescent="0.25">
      <c r="A65" s="1" t="s">
        <v>129</v>
      </c>
      <c r="B65" s="7">
        <f>B17/B11</f>
        <v>585678.91602209944</v>
      </c>
      <c r="C65" s="7">
        <f t="shared" ref="C65:E66" si="3">C17/C11</f>
        <v>168088.46153846153</v>
      </c>
      <c r="D65" s="7">
        <f t="shared" si="3"/>
        <v>1232200</v>
      </c>
      <c r="E65" s="7">
        <f t="shared" si="3"/>
        <v>1673199.124248497</v>
      </c>
    </row>
    <row r="66" spans="1:6" x14ac:dyDescent="0.25">
      <c r="A66" s="1" t="s">
        <v>130</v>
      </c>
      <c r="B66" s="7">
        <f>B18/B12</f>
        <v>468926.27217797306</v>
      </c>
      <c r="C66" s="7">
        <f t="shared" si="3"/>
        <v>170927.98203363916</v>
      </c>
      <c r="D66" s="7">
        <f t="shared" si="3"/>
        <v>1530344.5</v>
      </c>
      <c r="E66" s="7">
        <f t="shared" si="3"/>
        <v>1223488.622885572</v>
      </c>
    </row>
    <row r="68" spans="1:6" x14ac:dyDescent="0.25">
      <c r="A68" s="1" t="s">
        <v>43</v>
      </c>
    </row>
    <row r="69" spans="1:6" x14ac:dyDescent="0.25">
      <c r="A69" s="1" t="s">
        <v>44</v>
      </c>
      <c r="B69" s="1">
        <f>(B24/B23)*100</f>
        <v>80.392327756287131</v>
      </c>
    </row>
    <row r="70" spans="1:6" x14ac:dyDescent="0.25">
      <c r="A70" s="1" t="s">
        <v>45</v>
      </c>
      <c r="B70" s="1">
        <f>(B18/B24)*100</f>
        <v>100.17110852427398</v>
      </c>
    </row>
    <row r="71" spans="1:6" ht="15.75" thickBot="1" x14ac:dyDescent="0.3">
      <c r="A71" s="5"/>
      <c r="B71" s="5"/>
      <c r="C71" s="5"/>
      <c r="D71" s="5"/>
      <c r="E71" s="5"/>
      <c r="F71" s="5"/>
    </row>
    <row r="72" spans="1:6" ht="15.75" thickTop="1" x14ac:dyDescent="0.25"/>
    <row r="73" spans="1:6" x14ac:dyDescent="0.25">
      <c r="A73" s="1" t="s">
        <v>57</v>
      </c>
    </row>
    <row r="74" spans="1:6" x14ac:dyDescent="0.25">
      <c r="A74" s="1" t="s">
        <v>58</v>
      </c>
    </row>
    <row r="75" spans="1:6" x14ac:dyDescent="0.25">
      <c r="A75" s="1" t="s">
        <v>103</v>
      </c>
    </row>
    <row r="76" spans="1:6" x14ac:dyDescent="0.25">
      <c r="A76" s="1" t="s">
        <v>59</v>
      </c>
    </row>
    <row r="77" spans="1:6" x14ac:dyDescent="0.25">
      <c r="A77" s="1" t="s">
        <v>60</v>
      </c>
    </row>
    <row r="79" spans="1:6" x14ac:dyDescent="0.25">
      <c r="A79" s="1" t="s">
        <v>106</v>
      </c>
    </row>
    <row r="80" spans="1:6" x14ac:dyDescent="0.25">
      <c r="A80" s="1" t="s">
        <v>107</v>
      </c>
    </row>
    <row r="81" spans="1:1" x14ac:dyDescent="0.25">
      <c r="A81" s="1" t="s">
        <v>114</v>
      </c>
    </row>
    <row r="82" spans="1:1" x14ac:dyDescent="0.25">
      <c r="A82" s="1" t="s">
        <v>120</v>
      </c>
    </row>
    <row r="83" spans="1:1" x14ac:dyDescent="0.25">
      <c r="A83" s="8" t="s">
        <v>121</v>
      </c>
    </row>
    <row r="84" spans="1:1" x14ac:dyDescent="0.25">
      <c r="A84" s="8" t="s">
        <v>122</v>
      </c>
    </row>
  </sheetData>
  <mergeCells count="3">
    <mergeCell ref="A2:E2"/>
    <mergeCell ref="A4:A5"/>
    <mergeCell ref="C4:E4"/>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F84"/>
  <sheetViews>
    <sheetView topLeftCell="A82" workbookViewId="0">
      <selection activeCell="C96" sqref="C96"/>
    </sheetView>
  </sheetViews>
  <sheetFormatPr baseColWidth="10" defaultRowHeight="15" x14ac:dyDescent="0.25"/>
  <cols>
    <col min="1" max="1" width="50.5703125" style="1" customWidth="1"/>
    <col min="2" max="3" width="15.28515625" style="1" bestFit="1" customWidth="1"/>
    <col min="4" max="4" width="13.7109375" style="1" bestFit="1" customWidth="1"/>
    <col min="5" max="5" width="21.85546875" style="1" bestFit="1" customWidth="1"/>
    <col min="6" max="16384" width="11.42578125" style="1"/>
  </cols>
  <sheetData>
    <row r="2" spans="1:5" x14ac:dyDescent="0.25">
      <c r="A2" s="29" t="s">
        <v>118</v>
      </c>
      <c r="B2" s="29"/>
      <c r="C2" s="29"/>
      <c r="D2" s="29"/>
      <c r="E2" s="29"/>
    </row>
    <row r="4" spans="1:5" x14ac:dyDescent="0.25">
      <c r="A4" s="30" t="s">
        <v>0</v>
      </c>
      <c r="B4" s="2" t="s">
        <v>1</v>
      </c>
      <c r="C4" s="32" t="s">
        <v>2</v>
      </c>
      <c r="D4" s="32"/>
      <c r="E4" s="32"/>
    </row>
    <row r="5" spans="1:5" ht="15.75" thickBot="1" x14ac:dyDescent="0.3">
      <c r="A5" s="31"/>
      <c r="B5" s="3" t="s">
        <v>3</v>
      </c>
      <c r="C5" s="3" t="s">
        <v>4</v>
      </c>
      <c r="D5" s="3" t="s">
        <v>5</v>
      </c>
      <c r="E5" s="3" t="s">
        <v>46</v>
      </c>
    </row>
    <row r="6" spans="1:5" ht="15.75" thickTop="1" x14ac:dyDescent="0.25"/>
    <row r="7" spans="1:5" x14ac:dyDescent="0.25">
      <c r="A7" s="4" t="s">
        <v>6</v>
      </c>
    </row>
    <row r="9" spans="1:5" x14ac:dyDescent="0.25">
      <c r="A9" s="1" t="s">
        <v>7</v>
      </c>
    </row>
    <row r="10" spans="1:5" x14ac:dyDescent="0.25">
      <c r="A10" s="1" t="s">
        <v>91</v>
      </c>
      <c r="B10" s="6">
        <f>SUM(C10:E10)</f>
        <v>3993</v>
      </c>
      <c r="C10" s="6">
        <f>'III Trimestre'!C10</f>
        <v>2905</v>
      </c>
      <c r="D10" s="6">
        <f>'III Trimestre'!D10</f>
        <v>51</v>
      </c>
      <c r="E10" s="6">
        <f>'III Trimestre'!E10</f>
        <v>1037</v>
      </c>
    </row>
    <row r="11" spans="1:5" x14ac:dyDescent="0.25">
      <c r="A11" s="1" t="s">
        <v>92</v>
      </c>
      <c r="B11" s="7">
        <f>SUM(C11:E11)</f>
        <v>3914</v>
      </c>
      <c r="C11" s="7">
        <f>'III Trimestre'!C11</f>
        <v>2907</v>
      </c>
      <c r="D11" s="7">
        <f>'III Trimestre'!D11</f>
        <v>9</v>
      </c>
      <c r="E11" s="6">
        <f>'III Trimestre'!E11</f>
        <v>998</v>
      </c>
    </row>
    <row r="12" spans="1:5" x14ac:dyDescent="0.25">
      <c r="A12" s="1" t="s">
        <v>93</v>
      </c>
      <c r="B12" s="7">
        <f>SUM(C12:E12)</f>
        <v>4052</v>
      </c>
      <c r="C12" s="7">
        <f>'III Trimestre'!C12</f>
        <v>2920</v>
      </c>
      <c r="D12" s="7">
        <f>'III Trimestre'!D12</f>
        <v>26</v>
      </c>
      <c r="E12" s="6">
        <f>'III Trimestre'!E12</f>
        <v>1106</v>
      </c>
    </row>
    <row r="13" spans="1:5" x14ac:dyDescent="0.25">
      <c r="A13" s="1" t="s">
        <v>11</v>
      </c>
      <c r="B13" s="6">
        <f>SUM(C13:E13)</f>
        <v>3966</v>
      </c>
      <c r="C13" s="6">
        <f>'III Trimestre'!C13</f>
        <v>2936</v>
      </c>
      <c r="D13" s="6">
        <f>'III Trimestre'!D13</f>
        <v>29</v>
      </c>
      <c r="E13" s="6">
        <f>'III Trimestre'!E13</f>
        <v>1001</v>
      </c>
    </row>
    <row r="15" spans="1:5" x14ac:dyDescent="0.25">
      <c r="A15" s="1" t="s">
        <v>12</v>
      </c>
    </row>
    <row r="16" spans="1:5" x14ac:dyDescent="0.25">
      <c r="A16" s="1" t="s">
        <v>91</v>
      </c>
      <c r="B16" s="1">
        <f>SUM(C16:E16)</f>
        <v>2444555664</v>
      </c>
      <c r="C16" s="1">
        <f>'I Trimestre'!C16+'II Trimestre'!C16+'III Trimestre'!C16</f>
        <v>726821275</v>
      </c>
      <c r="D16" s="1">
        <f>'I Trimestre'!D16+'II Trimestre'!D16+'III Trimestre'!D16</f>
        <v>91336575</v>
      </c>
      <c r="E16" s="1">
        <f>'I Trimestre'!E16+'II Trimestre'!E16+'III Trimestre'!E16</f>
        <v>1626397814</v>
      </c>
    </row>
    <row r="17" spans="1:5" x14ac:dyDescent="0.25">
      <c r="A17" s="1" t="s">
        <v>92</v>
      </c>
      <c r="B17" s="1">
        <f>SUM(C17:E17)</f>
        <v>3113751849</v>
      </c>
      <c r="C17" s="1">
        <f>'I Trimestre'!C17+'II Trimestre'!C17+'III Trimestre'!C17</f>
        <v>817663100</v>
      </c>
      <c r="D17" s="1">
        <f>'I Trimestre'!D17+'II Trimestre'!D17+'III Trimestre'!D17</f>
        <v>11089800</v>
      </c>
      <c r="E17" s="1">
        <f>'I Trimestre'!E17+'II Trimestre'!E17+'III Trimestre'!E17</f>
        <v>2284998949</v>
      </c>
    </row>
    <row r="18" spans="1:5" x14ac:dyDescent="0.25">
      <c r="A18" s="1" t="s">
        <v>93</v>
      </c>
      <c r="B18" s="1">
        <f>SUM(C18:E18)</f>
        <v>2708415311</v>
      </c>
      <c r="C18" s="1">
        <f>'I Trimestre'!C18+'II Trimestre'!C18+'III Trimestre'!C18</f>
        <v>809059201</v>
      </c>
      <c r="D18" s="1">
        <f>'I Trimestre'!D18+'II Trimestre'!D18+'III Trimestre'!D18</f>
        <v>41052910</v>
      </c>
      <c r="E18" s="1">
        <f>'I Trimestre'!E18+'II Trimestre'!E18+'III Trimestre'!E18</f>
        <v>1858303200</v>
      </c>
    </row>
    <row r="19" spans="1:5" x14ac:dyDescent="0.25">
      <c r="A19" s="1" t="s">
        <v>11</v>
      </c>
      <c r="B19" s="1">
        <f>SUM(C19:E19)</f>
        <v>3732079876</v>
      </c>
      <c r="C19" s="1">
        <f>'III Trimestre'!C19</f>
        <v>1216825351</v>
      </c>
      <c r="D19" s="1">
        <f>'III Trimestre'!D19</f>
        <v>57423611</v>
      </c>
      <c r="E19" s="1">
        <f>'III Trimestre'!E19</f>
        <v>2457830914</v>
      </c>
    </row>
    <row r="20" spans="1:5" x14ac:dyDescent="0.25">
      <c r="A20" s="1" t="s">
        <v>94</v>
      </c>
      <c r="B20" s="1">
        <f>SUM(C20:E20)</f>
        <v>2708415311</v>
      </c>
      <c r="C20" s="1">
        <f>'I Trimestre'!C20+'II Trimestre'!C20+'III Trimestre'!C20</f>
        <v>809059201</v>
      </c>
      <c r="D20" s="1">
        <f>'I Trimestre'!D20+'II Trimestre'!D20+'III Trimestre'!D20</f>
        <v>41052910</v>
      </c>
      <c r="E20" s="1">
        <f>'I Trimestre'!E20+'II Trimestre'!E20+'III Trimestre'!E20</f>
        <v>1858303200</v>
      </c>
    </row>
    <row r="22" spans="1:5" x14ac:dyDescent="0.25">
      <c r="A22" s="1" t="s">
        <v>14</v>
      </c>
    </row>
    <row r="23" spans="1:5" x14ac:dyDescent="0.25">
      <c r="A23" s="1" t="s">
        <v>92</v>
      </c>
      <c r="B23" s="1">
        <f>B17</f>
        <v>3113751849</v>
      </c>
      <c r="C23" s="1">
        <f>C17</f>
        <v>817663100</v>
      </c>
      <c r="D23" s="1">
        <f>D17</f>
        <v>11089800</v>
      </c>
      <c r="E23" s="1">
        <f>E17</f>
        <v>2284998949</v>
      </c>
    </row>
    <row r="24" spans="1:5" x14ac:dyDescent="0.25">
      <c r="A24" s="1" t="s">
        <v>93</v>
      </c>
      <c r="B24" s="1">
        <f>'I Trimestre'!B24+'II Trimestre'!B24+'III Trimestre'!B24</f>
        <v>2709628471.2000003</v>
      </c>
    </row>
    <row r="26" spans="1:5" x14ac:dyDescent="0.25">
      <c r="A26" s="1" t="s">
        <v>15</v>
      </c>
    </row>
    <row r="27" spans="1:5" x14ac:dyDescent="0.25">
      <c r="A27" s="1" t="s">
        <v>95</v>
      </c>
      <c r="B27" s="1">
        <v>1.3931300646666669</v>
      </c>
      <c r="C27" s="1">
        <v>1.3931300646666669</v>
      </c>
      <c r="D27" s="1">
        <v>1.3931300646666669</v>
      </c>
      <c r="E27" s="1">
        <v>1.3931300646666669</v>
      </c>
    </row>
    <row r="28" spans="1:5" x14ac:dyDescent="0.25">
      <c r="A28" s="1" t="s">
        <v>96</v>
      </c>
      <c r="B28" s="1">
        <v>1.4617491794222224</v>
      </c>
      <c r="C28" s="1">
        <v>1.4617491794222224</v>
      </c>
      <c r="D28" s="1">
        <v>1.4617491794222224</v>
      </c>
      <c r="E28" s="1">
        <v>1.4617491794222224</v>
      </c>
    </row>
    <row r="29" spans="1:5" x14ac:dyDescent="0.25">
      <c r="A29" s="1" t="s">
        <v>18</v>
      </c>
      <c r="B29" s="7">
        <f>+C29+E29</f>
        <v>40380</v>
      </c>
      <c r="C29" s="7">
        <v>33880</v>
      </c>
      <c r="D29" s="7"/>
      <c r="E29" s="7">
        <v>6500</v>
      </c>
    </row>
    <row r="31" spans="1:5" x14ac:dyDescent="0.25">
      <c r="A31" s="1" t="s">
        <v>19</v>
      </c>
    </row>
    <row r="32" spans="1:5" x14ac:dyDescent="0.25">
      <c r="A32" s="1" t="s">
        <v>97</v>
      </c>
      <c r="B32" s="1">
        <f>B16/B27</f>
        <v>1754721777.9589782</v>
      </c>
      <c r="C32" s="1">
        <f>C16/C27</f>
        <v>521718175.08934885</v>
      </c>
      <c r="D32" s="1">
        <f>D16/D27</f>
        <v>65562130.425958492</v>
      </c>
      <c r="E32" s="1">
        <f>E16/E27</f>
        <v>1167441472.4436707</v>
      </c>
    </row>
    <row r="33" spans="1:5" x14ac:dyDescent="0.25">
      <c r="A33" s="1" t="s">
        <v>98</v>
      </c>
      <c r="B33" s="1">
        <f>B18/B28</f>
        <v>1852859128.7258601</v>
      </c>
      <c r="C33" s="1">
        <f>C18/C28</f>
        <v>553487022.52721119</v>
      </c>
      <c r="D33" s="1">
        <f>D18/D28</f>
        <v>28084784.02308853</v>
      </c>
      <c r="E33" s="1">
        <f>E18/E28</f>
        <v>1271287322.1755605</v>
      </c>
    </row>
    <row r="34" spans="1:5" x14ac:dyDescent="0.25">
      <c r="A34" s="1" t="s">
        <v>99</v>
      </c>
      <c r="B34" s="1">
        <f>B32/B10</f>
        <v>439449.48108163744</v>
      </c>
      <c r="C34" s="1">
        <f>C32/C10</f>
        <v>179593.17559013731</v>
      </c>
      <c r="D34" s="1">
        <f>D32/D10</f>
        <v>1285531.9691364411</v>
      </c>
      <c r="E34" s="1">
        <f>E32/E10</f>
        <v>1125787.3408328551</v>
      </c>
    </row>
    <row r="35" spans="1:5" x14ac:dyDescent="0.25">
      <c r="A35" s="1" t="s">
        <v>100</v>
      </c>
      <c r="B35" s="1">
        <f>B33/B12</f>
        <v>457270.26868851436</v>
      </c>
      <c r="C35" s="1">
        <f>C33/C12</f>
        <v>189550.35018055179</v>
      </c>
      <c r="D35" s="1">
        <f>D33/D12</f>
        <v>1080184.0008880203</v>
      </c>
      <c r="E35" s="1">
        <f>E33/E12</f>
        <v>1149446.0417500546</v>
      </c>
    </row>
    <row r="37" spans="1:5" x14ac:dyDescent="0.25">
      <c r="A37" s="4" t="s">
        <v>24</v>
      </c>
    </row>
    <row r="39" spans="1:5" x14ac:dyDescent="0.25">
      <c r="A39" s="1" t="s">
        <v>25</v>
      </c>
    </row>
    <row r="40" spans="1:5" x14ac:dyDescent="0.25">
      <c r="A40" s="1" t="s">
        <v>26</v>
      </c>
      <c r="B40" s="1">
        <f>B11/B29*100</f>
        <v>9.6929172857850432</v>
      </c>
      <c r="C40" s="1">
        <f>C11/C29*100</f>
        <v>8.5802833530106266</v>
      </c>
      <c r="D40" s="1" t="e">
        <f>D11/D29*100</f>
        <v>#DIV/0!</v>
      </c>
      <c r="E40" s="1">
        <f>E11/E29*100</f>
        <v>15.353846153846154</v>
      </c>
    </row>
    <row r="41" spans="1:5" x14ac:dyDescent="0.25">
      <c r="A41" s="1" t="s">
        <v>27</v>
      </c>
      <c r="B41" s="1">
        <f>B12/B29*100</f>
        <v>10.034670629024269</v>
      </c>
      <c r="C41" s="1">
        <f>C12/C29*100</f>
        <v>8.6186540731995276</v>
      </c>
      <c r="D41" s="1" t="e">
        <f>D12/D29*100</f>
        <v>#DIV/0!</v>
      </c>
      <c r="E41" s="1">
        <f>E12/E29*100</f>
        <v>17.015384615384615</v>
      </c>
    </row>
    <row r="43" spans="1:5" x14ac:dyDescent="0.25">
      <c r="A43" s="1" t="s">
        <v>28</v>
      </c>
    </row>
    <row r="44" spans="1:5" x14ac:dyDescent="0.25">
      <c r="A44" s="1" t="s">
        <v>29</v>
      </c>
      <c r="B44" s="1">
        <f>B12/B11*100</f>
        <v>103.52580480327032</v>
      </c>
      <c r="C44" s="1">
        <f>C12/C11*100</f>
        <v>100.44719642242863</v>
      </c>
      <c r="D44" s="1">
        <f>D12/D11*100</f>
        <v>288.88888888888886</v>
      </c>
      <c r="E44" s="1">
        <f>E12/E11*100</f>
        <v>110.82164328657316</v>
      </c>
    </row>
    <row r="45" spans="1:5" x14ac:dyDescent="0.25">
      <c r="A45" s="1" t="s">
        <v>30</v>
      </c>
      <c r="B45" s="1">
        <f>B18/B17*100</f>
        <v>86.982375036399375</v>
      </c>
      <c r="C45" s="1">
        <f>C18/C17*100</f>
        <v>98.94774522660984</v>
      </c>
      <c r="D45" s="1">
        <f>D18/D17*100</f>
        <v>370.18620714530471</v>
      </c>
      <c r="E45" s="1">
        <f>E18/E17*100</f>
        <v>81.326216837572815</v>
      </c>
    </row>
    <row r="46" spans="1:5" x14ac:dyDescent="0.25">
      <c r="A46" s="1" t="s">
        <v>31</v>
      </c>
      <c r="B46" s="1">
        <f>AVERAGE(B44:B45)</f>
        <v>95.254089919834854</v>
      </c>
      <c r="C46" s="1">
        <f>AVERAGE(C44:C45)</f>
        <v>99.697470824519229</v>
      </c>
      <c r="D46" s="1">
        <f>AVERAGE(D44:D45)</f>
        <v>329.53754801709681</v>
      </c>
      <c r="E46" s="1">
        <f>AVERAGE(E44:E45)</f>
        <v>96.073930062072989</v>
      </c>
    </row>
    <row r="48" spans="1:5" x14ac:dyDescent="0.25">
      <c r="A48" s="1" t="s">
        <v>32</v>
      </c>
    </row>
    <row r="49" spans="1:5" x14ac:dyDescent="0.25">
      <c r="A49" s="1" t="s">
        <v>33</v>
      </c>
      <c r="B49" s="1">
        <f>B12/(B13)*100</f>
        <v>102.1684316691881</v>
      </c>
      <c r="C49" s="1">
        <f t="shared" ref="C49:E49" si="0">C12/(C13)*100</f>
        <v>99.455040871934614</v>
      </c>
      <c r="D49" s="1">
        <f t="shared" si="0"/>
        <v>89.65517241379311</v>
      </c>
      <c r="E49" s="1">
        <f t="shared" si="0"/>
        <v>110.48951048951048</v>
      </c>
    </row>
    <row r="50" spans="1:5" x14ac:dyDescent="0.25">
      <c r="A50" s="1" t="s">
        <v>34</v>
      </c>
      <c r="B50" s="1">
        <f>B18/B19*100</f>
        <v>72.571204287911655</v>
      </c>
      <c r="C50" s="1">
        <f>C18/C19*100</f>
        <v>66.489344615897963</v>
      </c>
      <c r="D50" s="1">
        <f>D18/D19*100</f>
        <v>71.491341775772341</v>
      </c>
      <c r="E50" s="1">
        <f>E18/E19*100</f>
        <v>75.6074467700344</v>
      </c>
    </row>
    <row r="51" spans="1:5" x14ac:dyDescent="0.25">
      <c r="A51" s="1" t="s">
        <v>35</v>
      </c>
      <c r="B51" s="1">
        <f>(B49+B50)/2</f>
        <v>87.369817978549875</v>
      </c>
      <c r="C51" s="1">
        <f>(C49+C50)/2</f>
        <v>82.972192743916281</v>
      </c>
      <c r="D51" s="1">
        <f>(D49+D50)/2</f>
        <v>80.573257094782718</v>
      </c>
      <c r="E51" s="1">
        <f>(E49+E50)/2</f>
        <v>93.048478629772433</v>
      </c>
    </row>
    <row r="53" spans="1:5" x14ac:dyDescent="0.25">
      <c r="A53" s="1" t="s">
        <v>102</v>
      </c>
    </row>
    <row r="54" spans="1:5" x14ac:dyDescent="0.25">
      <c r="A54" s="1" t="s">
        <v>36</v>
      </c>
      <c r="B54" s="1">
        <f>B20/B18*100</f>
        <v>100</v>
      </c>
      <c r="C54" s="1">
        <f>C20/C18*100</f>
        <v>100</v>
      </c>
      <c r="D54" s="1">
        <f>D20/D18*100</f>
        <v>100</v>
      </c>
      <c r="E54" s="1">
        <f>E20/E18*100</f>
        <v>100</v>
      </c>
    </row>
    <row r="56" spans="1:5" x14ac:dyDescent="0.25">
      <c r="A56" s="1" t="s">
        <v>37</v>
      </c>
    </row>
    <row r="57" spans="1:5" x14ac:dyDescent="0.25">
      <c r="A57" s="1" t="s">
        <v>38</v>
      </c>
      <c r="B57" s="1">
        <f>((B12/B10)-1)*100</f>
        <v>1.4775857751064381</v>
      </c>
      <c r="C57" s="1">
        <f>((C12/C10)-1)*100</f>
        <v>0.51635111876076056</v>
      </c>
      <c r="D57" s="1">
        <f>((D12/D10)-1)*100</f>
        <v>-49.019607843137258</v>
      </c>
      <c r="E57" s="1">
        <f>((E12/E10)-1)*100</f>
        <v>6.6538090646094394</v>
      </c>
    </row>
    <row r="58" spans="1:5" x14ac:dyDescent="0.25">
      <c r="A58" s="1" t="s">
        <v>39</v>
      </c>
      <c r="B58" s="1">
        <f>((B33/B32)-1)*100</f>
        <v>5.592758464594394</v>
      </c>
      <c r="C58" s="1">
        <f>((C33/C32)-1)*100</f>
        <v>6.0892736643536782</v>
      </c>
      <c r="D58" s="1">
        <f>((D33/D32)-1)*100</f>
        <v>-57.163100343718057</v>
      </c>
      <c r="E58" s="1">
        <f>((E33/E32)-1)*100</f>
        <v>8.8951653837105127</v>
      </c>
    </row>
    <row r="59" spans="1:5" x14ac:dyDescent="0.25">
      <c r="A59" s="1" t="s">
        <v>40</v>
      </c>
      <c r="B59" s="1">
        <f>((B35/B34)-1)*100</f>
        <v>4.0552528502283858</v>
      </c>
      <c r="C59" s="1">
        <f>((C35/C34)-1)*100</f>
        <v>5.5442945188176163</v>
      </c>
      <c r="D59" s="1">
        <f>((D35/D34)-1)*100</f>
        <v>-15.973773751139287</v>
      </c>
      <c r="E59" s="1">
        <f>((E35/E34)-1)*100</f>
        <v>2.1015248670052333</v>
      </c>
    </row>
    <row r="61" spans="1:5" x14ac:dyDescent="0.25">
      <c r="A61" s="1" t="s">
        <v>41</v>
      </c>
    </row>
    <row r="62" spans="1:5" x14ac:dyDescent="0.25">
      <c r="A62" s="1" t="s">
        <v>125</v>
      </c>
      <c r="B62" s="7">
        <f>B17/(B11*9)</f>
        <v>88393.568642479993</v>
      </c>
      <c r="C62" s="7">
        <f t="shared" ref="C62:E62" si="1">C17/(C11*9)</f>
        <v>31252.650689905593</v>
      </c>
      <c r="D62" s="7">
        <f t="shared" si="1"/>
        <v>136911.11111111112</v>
      </c>
      <c r="E62" s="7">
        <f t="shared" si="1"/>
        <v>254397.56724560232</v>
      </c>
    </row>
    <row r="63" spans="1:5" x14ac:dyDescent="0.25">
      <c r="A63" s="1" t="s">
        <v>126</v>
      </c>
      <c r="B63" s="7">
        <f>B18/(B12*9)</f>
        <v>74268.271114401665</v>
      </c>
      <c r="C63" s="7">
        <f t="shared" ref="C63:E63" si="2">C18/(C12*9)</f>
        <v>30786.118759512938</v>
      </c>
      <c r="D63" s="7">
        <f t="shared" si="2"/>
        <v>175439.78632478631</v>
      </c>
      <c r="E63" s="7">
        <f t="shared" si="2"/>
        <v>186689.08981314045</v>
      </c>
    </row>
    <row r="64" spans="1:5" x14ac:dyDescent="0.25">
      <c r="A64" s="1" t="s">
        <v>42</v>
      </c>
      <c r="B64" s="1">
        <f>(B62/B63)*B46</f>
        <v>113.37074109125393</v>
      </c>
      <c r="C64" s="1">
        <f>(C62/C63)*C46</f>
        <v>101.20828333980768</v>
      </c>
      <c r="D64" s="1">
        <f>(D62/D63)*D46</f>
        <v>257.16716143467869</v>
      </c>
      <c r="E64" s="1">
        <f>E62/E63*E46</f>
        <v>130.91806333181438</v>
      </c>
    </row>
    <row r="65" spans="1:6" x14ac:dyDescent="0.25">
      <c r="A65" s="1" t="s">
        <v>129</v>
      </c>
      <c r="B65" s="7">
        <f>B17/B11</f>
        <v>795542.1177823199</v>
      </c>
      <c r="C65" s="7">
        <f t="shared" ref="C65:E66" si="3">C17/C11</f>
        <v>281273.85620915034</v>
      </c>
      <c r="D65" s="7">
        <f t="shared" si="3"/>
        <v>1232200</v>
      </c>
      <c r="E65" s="7">
        <f t="shared" si="3"/>
        <v>2289578.1052104207</v>
      </c>
    </row>
    <row r="66" spans="1:6" x14ac:dyDescent="0.25">
      <c r="A66" s="1" t="s">
        <v>130</v>
      </c>
      <c r="B66" s="7">
        <f>B18/B12</f>
        <v>668414.44002961495</v>
      </c>
      <c r="C66" s="7">
        <f t="shared" si="3"/>
        <v>277075.06883561646</v>
      </c>
      <c r="D66" s="7">
        <f t="shared" si="3"/>
        <v>1578958.076923077</v>
      </c>
      <c r="E66" s="7">
        <f t="shared" si="3"/>
        <v>1680201.8083182641</v>
      </c>
    </row>
    <row r="68" spans="1:6" x14ac:dyDescent="0.25">
      <c r="A68" s="1" t="s">
        <v>43</v>
      </c>
    </row>
    <row r="69" spans="1:6" x14ac:dyDescent="0.25">
      <c r="A69" s="1" t="s">
        <v>44</v>
      </c>
      <c r="B69" s="1">
        <f>(B24/B23)*100</f>
        <v>87.021336400658058</v>
      </c>
    </row>
    <row r="70" spans="1:6" x14ac:dyDescent="0.25">
      <c r="A70" s="1" t="s">
        <v>45</v>
      </c>
      <c r="B70" s="1">
        <f>(B18/B24)*100</f>
        <v>99.955227802892736</v>
      </c>
    </row>
    <row r="71" spans="1:6" ht="15.75" thickBot="1" x14ac:dyDescent="0.3">
      <c r="A71" s="5"/>
      <c r="B71" s="5"/>
      <c r="C71" s="5"/>
      <c r="D71" s="5"/>
      <c r="E71" s="5"/>
      <c r="F71" s="5"/>
    </row>
    <row r="72" spans="1:6" ht="15.75" thickTop="1" x14ac:dyDescent="0.25"/>
    <row r="73" spans="1:6" x14ac:dyDescent="0.25">
      <c r="A73" s="1" t="s">
        <v>57</v>
      </c>
    </row>
    <row r="74" spans="1:6" x14ac:dyDescent="0.25">
      <c r="A74" s="1" t="s">
        <v>58</v>
      </c>
    </row>
    <row r="75" spans="1:6" x14ac:dyDescent="0.25">
      <c r="A75" s="1" t="s">
        <v>103</v>
      </c>
    </row>
    <row r="76" spans="1:6" x14ac:dyDescent="0.25">
      <c r="A76" s="1" t="s">
        <v>59</v>
      </c>
    </row>
    <row r="77" spans="1:6" x14ac:dyDescent="0.25">
      <c r="A77" s="1" t="s">
        <v>60</v>
      </c>
    </row>
    <row r="79" spans="1:6" x14ac:dyDescent="0.25">
      <c r="A79" s="1" t="s">
        <v>106</v>
      </c>
    </row>
    <row r="80" spans="1:6" x14ac:dyDescent="0.25">
      <c r="A80" s="1" t="s">
        <v>107</v>
      </c>
    </row>
    <row r="81" spans="1:1" x14ac:dyDescent="0.25">
      <c r="A81" s="1" t="s">
        <v>114</v>
      </c>
    </row>
    <row r="82" spans="1:1" x14ac:dyDescent="0.25">
      <c r="A82" s="1" t="s">
        <v>120</v>
      </c>
    </row>
    <row r="83" spans="1:1" x14ac:dyDescent="0.25">
      <c r="A83" s="8" t="s">
        <v>121</v>
      </c>
    </row>
    <row r="84" spans="1:1" x14ac:dyDescent="0.25">
      <c r="A84" s="8" t="s">
        <v>122</v>
      </c>
    </row>
  </sheetData>
  <mergeCells count="3">
    <mergeCell ref="A2:E2"/>
    <mergeCell ref="A4:A5"/>
    <mergeCell ref="C4:E4"/>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F84"/>
  <sheetViews>
    <sheetView tabSelected="1" topLeftCell="A64" zoomScale="90" zoomScaleNormal="90" workbookViewId="0">
      <selection activeCell="F125" sqref="F125"/>
    </sheetView>
  </sheetViews>
  <sheetFormatPr baseColWidth="10" defaultRowHeight="15" x14ac:dyDescent="0.25"/>
  <cols>
    <col min="1" max="1" width="50.5703125" style="7" customWidth="1"/>
    <col min="2" max="3" width="16.28515625" style="7" bestFit="1" customWidth="1"/>
    <col min="4" max="4" width="19.5703125" style="7" customWidth="1"/>
    <col min="5" max="5" width="21.85546875" style="7" bestFit="1" customWidth="1"/>
    <col min="6" max="16384" width="11.42578125" style="7"/>
  </cols>
  <sheetData>
    <row r="2" spans="1:5" x14ac:dyDescent="0.25">
      <c r="A2" s="33" t="s">
        <v>119</v>
      </c>
      <c r="B2" s="33"/>
      <c r="C2" s="33"/>
      <c r="D2" s="33"/>
      <c r="E2" s="33"/>
    </row>
    <row r="4" spans="1:5" x14ac:dyDescent="0.25">
      <c r="A4" s="34" t="s">
        <v>0</v>
      </c>
      <c r="B4" s="17"/>
      <c r="C4" s="36" t="s">
        <v>2</v>
      </c>
      <c r="D4" s="36"/>
      <c r="E4" s="36"/>
    </row>
    <row r="5" spans="1:5" ht="15.75" thickBot="1" x14ac:dyDescent="0.3">
      <c r="A5" s="35"/>
      <c r="B5" s="18" t="s">
        <v>104</v>
      </c>
      <c r="C5" s="18" t="s">
        <v>4</v>
      </c>
      <c r="D5" s="18" t="s">
        <v>105</v>
      </c>
      <c r="E5" s="18" t="s">
        <v>46</v>
      </c>
    </row>
    <row r="6" spans="1:5" ht="15.75" thickTop="1" x14ac:dyDescent="0.25"/>
    <row r="7" spans="1:5" x14ac:dyDescent="0.25">
      <c r="A7" s="19" t="s">
        <v>6</v>
      </c>
    </row>
    <row r="9" spans="1:5" x14ac:dyDescent="0.25">
      <c r="A9" s="7" t="s">
        <v>7</v>
      </c>
    </row>
    <row r="10" spans="1:5" x14ac:dyDescent="0.25">
      <c r="A10" s="7" t="s">
        <v>81</v>
      </c>
      <c r="B10" s="6">
        <f>SUM(C10:E10)</f>
        <v>4197</v>
      </c>
      <c r="C10" s="6">
        <f>'IV Trimestre'!C10</f>
        <v>2969</v>
      </c>
      <c r="D10" s="6">
        <f>'IV Trimestre'!D10</f>
        <v>152</v>
      </c>
      <c r="E10" s="6">
        <f>'IV Trimestre'!E10</f>
        <v>1076</v>
      </c>
    </row>
    <row r="11" spans="1:5" x14ac:dyDescent="0.25">
      <c r="A11" s="7" t="s">
        <v>82</v>
      </c>
      <c r="B11" s="6">
        <f>SUM(C11:E11)</f>
        <v>4116</v>
      </c>
      <c r="C11" s="7">
        <f>'IV Trimestre'!C11</f>
        <v>2944</v>
      </c>
      <c r="D11" s="7">
        <f>'IV Trimestre'!D11</f>
        <v>33</v>
      </c>
      <c r="E11" s="6">
        <f>'IV Trimestre'!E11</f>
        <v>1139</v>
      </c>
    </row>
    <row r="12" spans="1:5" x14ac:dyDescent="0.25">
      <c r="A12" s="7" t="s">
        <v>83</v>
      </c>
      <c r="B12" s="6">
        <f>SUM(C12:E12)</f>
        <v>4136</v>
      </c>
      <c r="C12" s="7">
        <f>'IV Trimestre'!C12</f>
        <v>2962</v>
      </c>
      <c r="D12" s="7">
        <f>'IV Trimestre'!D12</f>
        <v>37</v>
      </c>
      <c r="E12" s="6">
        <f>'IV Trimestre'!E12</f>
        <v>1137</v>
      </c>
    </row>
    <row r="13" spans="1:5" x14ac:dyDescent="0.25">
      <c r="A13" s="7" t="s">
        <v>11</v>
      </c>
      <c r="B13" s="6">
        <f>SUM(C13:E13)</f>
        <v>4116</v>
      </c>
      <c r="C13" s="6">
        <f>'IV Trimestre'!C13</f>
        <v>2944</v>
      </c>
      <c r="D13" s="6">
        <f>'IV Trimestre'!D13</f>
        <v>33</v>
      </c>
      <c r="E13" s="6">
        <f>'IV Trimestre'!E13</f>
        <v>1139</v>
      </c>
    </row>
    <row r="15" spans="1:5" x14ac:dyDescent="0.25">
      <c r="A15" s="7" t="s">
        <v>12</v>
      </c>
    </row>
    <row r="16" spans="1:5" x14ac:dyDescent="0.25">
      <c r="A16" s="7" t="s">
        <v>81</v>
      </c>
      <c r="B16" s="7">
        <f>SUM(C16:E16)</f>
        <v>3627184145.25</v>
      </c>
      <c r="C16" s="7">
        <f>'I Trimestre'!C16+'II Trimestre'!C16+'III Trimestre'!C16+'IV Trimestre'!C16</f>
        <v>1052159855</v>
      </c>
      <c r="D16" s="7">
        <f>'I Trimestre'!D16+'II Trimestre'!D16+'III Trimestre'!D16+'IV Trimestre'!D16</f>
        <v>266418429</v>
      </c>
      <c r="E16" s="7">
        <f>'I Trimestre'!E16+'II Trimestre'!E16+'III Trimestre'!E16+'IV Trimestre'!E16</f>
        <v>2308605861.25</v>
      </c>
    </row>
    <row r="17" spans="1:5" x14ac:dyDescent="0.25">
      <c r="A17" s="7" t="s">
        <v>82</v>
      </c>
      <c r="B17" s="6">
        <f>SUM(C17:E17)</f>
        <v>3828379610.3000002</v>
      </c>
      <c r="C17" s="6">
        <v>1191335029.4000001</v>
      </c>
      <c r="D17" s="6">
        <v>60494087.899999999</v>
      </c>
      <c r="E17" s="6">
        <v>2576550493</v>
      </c>
    </row>
    <row r="18" spans="1:5" x14ac:dyDescent="0.25">
      <c r="A18" s="7" t="s">
        <v>83</v>
      </c>
      <c r="B18" s="6">
        <f>SUM(C18:E18)</f>
        <v>3767828049.6999998</v>
      </c>
      <c r="C18" s="6">
        <f>'I Trimestre'!C18+'II Trimestre'!C18+'III Trimestre'!C18+'IV Trimestre'!C18</f>
        <v>1176388172.7</v>
      </c>
      <c r="D18" s="6">
        <f>'I Trimestre'!D18+'II Trimestre'!D18+'III Trimestre'!D18+'IV Trimestre'!D18</f>
        <v>61951110</v>
      </c>
      <c r="E18" s="6">
        <f>'I Trimestre'!E18+'II Trimestre'!E18+'III Trimestre'!E18+'IV Trimestre'!E18</f>
        <v>2529488767</v>
      </c>
    </row>
    <row r="19" spans="1:5" x14ac:dyDescent="0.25">
      <c r="A19" s="7" t="s">
        <v>11</v>
      </c>
      <c r="B19" s="6">
        <f>SUM(C19:E19)</f>
        <v>3828379610.3000002</v>
      </c>
      <c r="C19" s="6">
        <f>'IV Trimestre'!C19</f>
        <v>1191335029.4000001</v>
      </c>
      <c r="D19" s="6">
        <f>'IV Trimestre'!D19</f>
        <v>60494087.899999999</v>
      </c>
      <c r="E19" s="6">
        <f>'IV Trimestre'!E19</f>
        <v>2576550493</v>
      </c>
    </row>
    <row r="20" spans="1:5" x14ac:dyDescent="0.25">
      <c r="A20" s="7" t="s">
        <v>84</v>
      </c>
      <c r="B20" s="6">
        <f>SUM(C20:E20)</f>
        <v>3767828049.6999998</v>
      </c>
      <c r="C20" s="6">
        <f>'I Trimestre'!C20+'II Trimestre'!C20+'III Trimestre'!C20+'IV Trimestre'!C20</f>
        <v>1176388172.7</v>
      </c>
      <c r="D20" s="6">
        <f>'I Trimestre'!D20+'II Trimestre'!D20+'III Trimestre'!D20+'IV Trimestre'!D20</f>
        <v>61951110</v>
      </c>
      <c r="E20" s="6">
        <f>'I Trimestre'!E20+'II Trimestre'!E20+'III Trimestre'!E20+'IV Trimestre'!E20</f>
        <v>2529488767</v>
      </c>
    </row>
    <row r="22" spans="1:5" x14ac:dyDescent="0.25">
      <c r="A22" s="7" t="s">
        <v>14</v>
      </c>
    </row>
    <row r="23" spans="1:5" x14ac:dyDescent="0.25">
      <c r="A23" s="7" t="s">
        <v>82</v>
      </c>
      <c r="B23" s="7">
        <f>B17</f>
        <v>3828379610.3000002</v>
      </c>
      <c r="C23" s="7">
        <f>C17</f>
        <v>1191335029.4000001</v>
      </c>
      <c r="D23" s="7">
        <f>D17</f>
        <v>60494087.899999999</v>
      </c>
      <c r="E23" s="7">
        <f>E17</f>
        <v>2576550493</v>
      </c>
    </row>
    <row r="24" spans="1:5" x14ac:dyDescent="0.25">
      <c r="A24" s="7" t="s">
        <v>83</v>
      </c>
      <c r="B24" s="7">
        <f>'I Trimestre'!B24+'II Trimestre'!B24+'III Trimestre'!B24+'IV Trimestre'!B24</f>
        <v>3911935215.3100004</v>
      </c>
    </row>
    <row r="26" spans="1:5" x14ac:dyDescent="0.25">
      <c r="A26" s="7" t="s">
        <v>15</v>
      </c>
    </row>
    <row r="27" spans="1:5" x14ac:dyDescent="0.25">
      <c r="A27" s="7" t="s">
        <v>85</v>
      </c>
      <c r="B27" s="1">
        <v>1.4000346908083336</v>
      </c>
      <c r="C27" s="1">
        <v>1.4000346908083336</v>
      </c>
      <c r="D27" s="1">
        <v>1.4000346908083336</v>
      </c>
      <c r="E27" s="1">
        <v>1.4000346908083336</v>
      </c>
    </row>
    <row r="28" spans="1:5" x14ac:dyDescent="0.25">
      <c r="A28" s="7" t="s">
        <v>86</v>
      </c>
      <c r="B28" s="1">
        <v>1.4683304717083334</v>
      </c>
      <c r="C28" s="1">
        <v>1.4683304717083334</v>
      </c>
      <c r="D28" s="1">
        <v>1.4683304717083334</v>
      </c>
      <c r="E28" s="1">
        <v>1.4683304717083334</v>
      </c>
    </row>
    <row r="29" spans="1:5" x14ac:dyDescent="0.25">
      <c r="A29" s="7" t="s">
        <v>18</v>
      </c>
      <c r="B29" s="7">
        <f>+C29+E29</f>
        <v>40380</v>
      </c>
      <c r="C29" s="7">
        <v>33880</v>
      </c>
      <c r="E29" s="7">
        <v>6500</v>
      </c>
    </row>
    <row r="31" spans="1:5" x14ac:dyDescent="0.25">
      <c r="A31" s="7" t="s">
        <v>19</v>
      </c>
    </row>
    <row r="32" spans="1:5" x14ac:dyDescent="0.25">
      <c r="A32" s="7" t="s">
        <v>87</v>
      </c>
      <c r="B32" s="7">
        <f>B16/B27</f>
        <v>2590781620.6724019</v>
      </c>
      <c r="C32" s="7">
        <f>C16/C27</f>
        <v>751524131.44314146</v>
      </c>
      <c r="D32" s="7">
        <f>D16/D27</f>
        <v>190294162.52977189</v>
      </c>
      <c r="E32" s="7">
        <f>E16/E27</f>
        <v>1648963326.6994886</v>
      </c>
    </row>
    <row r="33" spans="1:5" x14ac:dyDescent="0.25">
      <c r="A33" s="7" t="s">
        <v>88</v>
      </c>
      <c r="B33" s="7">
        <f>B18/B28</f>
        <v>2566062696.5783181</v>
      </c>
      <c r="C33" s="7">
        <f>C18/C28</f>
        <v>801173983.21872854</v>
      </c>
      <c r="D33" s="7">
        <f>D18/D28</f>
        <v>42191530.580934413</v>
      </c>
      <c r="E33" s="7">
        <f>E18/E28</f>
        <v>1722697182.7786553</v>
      </c>
    </row>
    <row r="34" spans="1:5" x14ac:dyDescent="0.25">
      <c r="A34" s="7" t="s">
        <v>89</v>
      </c>
      <c r="B34" s="7">
        <f>B32/B10</f>
        <v>617293.69089168496</v>
      </c>
      <c r="C34" s="7">
        <f>C32/C10</f>
        <v>253123.65491517057</v>
      </c>
      <c r="D34" s="7">
        <f>D32/D10</f>
        <v>1251935.279801131</v>
      </c>
      <c r="E34" s="7">
        <f>E32/E10</f>
        <v>1532493.798047852</v>
      </c>
    </row>
    <row r="35" spans="1:5" x14ac:dyDescent="0.25">
      <c r="A35" s="7" t="s">
        <v>90</v>
      </c>
      <c r="B35" s="7">
        <f>B33/B12</f>
        <v>620421.34830230125</v>
      </c>
      <c r="C35" s="7">
        <f>C33/C12</f>
        <v>270484.12667749106</v>
      </c>
      <c r="D35" s="7">
        <f>D33/D12</f>
        <v>1140311.6373225518</v>
      </c>
      <c r="E35" s="7">
        <f>E33/E12</f>
        <v>1515125.0508167592</v>
      </c>
    </row>
    <row r="37" spans="1:5" x14ac:dyDescent="0.25">
      <c r="A37" s="19" t="s">
        <v>24</v>
      </c>
    </row>
    <row r="39" spans="1:5" x14ac:dyDescent="0.25">
      <c r="A39" s="7" t="s">
        <v>25</v>
      </c>
    </row>
    <row r="40" spans="1:5" x14ac:dyDescent="0.25">
      <c r="A40" s="7" t="s">
        <v>26</v>
      </c>
      <c r="B40" s="1">
        <f>B11/B29*100</f>
        <v>10.193164933135215</v>
      </c>
      <c r="C40" s="1">
        <f>C11/C29*100</f>
        <v>8.6894923258559622</v>
      </c>
      <c r="D40" s="1" t="e">
        <f>D11/D29*100</f>
        <v>#DIV/0!</v>
      </c>
      <c r="E40" s="1">
        <f>E11/E29*100</f>
        <v>17.523076923076921</v>
      </c>
    </row>
    <row r="41" spans="1:5" x14ac:dyDescent="0.25">
      <c r="A41" s="7" t="s">
        <v>27</v>
      </c>
      <c r="B41" s="1">
        <f>B12/B29*100</f>
        <v>10.242694403169885</v>
      </c>
      <c r="C41" s="1">
        <f>C12/C29*100</f>
        <v>8.7426210153482877</v>
      </c>
      <c r="D41" s="1" t="e">
        <f>D12/D29*100</f>
        <v>#DIV/0!</v>
      </c>
      <c r="E41" s="1">
        <f>E12/E29*100</f>
        <v>17.492307692307694</v>
      </c>
    </row>
    <row r="42" spans="1:5" x14ac:dyDescent="0.25">
      <c r="B42" s="1"/>
      <c r="C42" s="1"/>
      <c r="D42" s="1"/>
      <c r="E42" s="1"/>
    </row>
    <row r="43" spans="1:5" x14ac:dyDescent="0.25">
      <c r="A43" s="7" t="s">
        <v>28</v>
      </c>
      <c r="B43" s="1"/>
      <c r="C43" s="1"/>
      <c r="D43" s="1"/>
      <c r="E43" s="1"/>
    </row>
    <row r="44" spans="1:5" x14ac:dyDescent="0.25">
      <c r="A44" s="7" t="s">
        <v>29</v>
      </c>
      <c r="B44" s="1">
        <f>B12/B11*100</f>
        <v>100.48590864917395</v>
      </c>
      <c r="C44" s="1">
        <f>C12/C11*100</f>
        <v>100.61141304347827</v>
      </c>
      <c r="D44" s="1">
        <f>D12/D11*100</f>
        <v>112.12121212121211</v>
      </c>
      <c r="E44" s="1">
        <f>E12/E11*100</f>
        <v>99.824407374890257</v>
      </c>
    </row>
    <row r="45" spans="1:5" x14ac:dyDescent="0.25">
      <c r="A45" s="7" t="s">
        <v>30</v>
      </c>
      <c r="B45" s="1">
        <f>B18/B17*100</f>
        <v>98.418350143828732</v>
      </c>
      <c r="C45" s="1">
        <f>C18/C17*100</f>
        <v>98.74536915887316</v>
      </c>
      <c r="D45" s="1">
        <f>D18/D17*100</f>
        <v>102.40853635550063</v>
      </c>
      <c r="E45" s="1">
        <f>E18/E17*100</f>
        <v>98.173459975736634</v>
      </c>
    </row>
    <row r="46" spans="1:5" x14ac:dyDescent="0.25">
      <c r="A46" s="7" t="s">
        <v>31</v>
      </c>
      <c r="B46" s="1">
        <f>AVERAGE(B44:B45)</f>
        <v>99.452129396501334</v>
      </c>
      <c r="C46" s="1">
        <f>AVERAGE(C44:C45)</f>
        <v>99.67839110117572</v>
      </c>
      <c r="D46" s="1">
        <f>AVERAGE(D44:D45)</f>
        <v>107.26487423835637</v>
      </c>
      <c r="E46" s="1">
        <f>AVERAGE(E44:E45)</f>
        <v>98.998933675313452</v>
      </c>
    </row>
    <row r="47" spans="1:5" x14ac:dyDescent="0.25">
      <c r="B47" s="1"/>
      <c r="C47" s="1"/>
      <c r="D47" s="1"/>
      <c r="E47" s="1"/>
    </row>
    <row r="48" spans="1:5" x14ac:dyDescent="0.25">
      <c r="A48" s="7" t="s">
        <v>32</v>
      </c>
      <c r="B48" s="1"/>
      <c r="C48" s="1"/>
      <c r="D48" s="1"/>
      <c r="E48" s="1"/>
    </row>
    <row r="49" spans="1:5" x14ac:dyDescent="0.25">
      <c r="A49" s="7" t="s">
        <v>33</v>
      </c>
      <c r="B49" s="1">
        <f>B12/B13*100</f>
        <v>100.48590864917395</v>
      </c>
      <c r="C49" s="1">
        <f>C12/C13*100</f>
        <v>100.61141304347827</v>
      </c>
      <c r="D49" s="1">
        <f>D12/D13*100</f>
        <v>112.12121212121211</v>
      </c>
      <c r="E49" s="1">
        <f>E12/E13*100</f>
        <v>99.824407374890257</v>
      </c>
    </row>
    <row r="50" spans="1:5" x14ac:dyDescent="0.25">
      <c r="A50" s="7" t="s">
        <v>34</v>
      </c>
      <c r="B50" s="1">
        <f>B18/B19*100</f>
        <v>98.418350143828732</v>
      </c>
      <c r="C50" s="1">
        <f>C18/C19*100</f>
        <v>98.74536915887316</v>
      </c>
      <c r="D50" s="1">
        <f>D18/D19*100</f>
        <v>102.40853635550063</v>
      </c>
      <c r="E50" s="1">
        <f>E18/E19*100</f>
        <v>98.173459975736634</v>
      </c>
    </row>
    <row r="51" spans="1:5" x14ac:dyDescent="0.25">
      <c r="A51" s="7" t="s">
        <v>35</v>
      </c>
      <c r="B51" s="1">
        <f>(B49+B50)/2</f>
        <v>99.452129396501334</v>
      </c>
      <c r="C51" s="1">
        <f>(C49+C50)/2</f>
        <v>99.67839110117572</v>
      </c>
      <c r="D51" s="1">
        <f>(D49+D50)/2</f>
        <v>107.26487423835637</v>
      </c>
      <c r="E51" s="1">
        <f>(E49+E50)/2</f>
        <v>98.998933675313452</v>
      </c>
    </row>
    <row r="52" spans="1:5" x14ac:dyDescent="0.25">
      <c r="B52" s="1"/>
      <c r="C52" s="1"/>
      <c r="D52" s="1"/>
      <c r="E52" s="1"/>
    </row>
    <row r="53" spans="1:5" x14ac:dyDescent="0.25">
      <c r="A53" s="7" t="s">
        <v>102</v>
      </c>
      <c r="B53" s="1"/>
      <c r="C53" s="1"/>
      <c r="D53" s="1"/>
      <c r="E53" s="1"/>
    </row>
    <row r="54" spans="1:5" x14ac:dyDescent="0.25">
      <c r="A54" s="7" t="s">
        <v>36</v>
      </c>
      <c r="B54" s="1">
        <f>B20/B18*100</f>
        <v>100</v>
      </c>
      <c r="C54" s="1">
        <f>C20/C18*100</f>
        <v>100</v>
      </c>
      <c r="D54" s="1">
        <f>D20/D18*100</f>
        <v>100</v>
      </c>
      <c r="E54" s="1">
        <f>E20/E18*100</f>
        <v>100</v>
      </c>
    </row>
    <row r="55" spans="1:5" x14ac:dyDescent="0.25">
      <c r="B55" s="1"/>
      <c r="C55" s="1"/>
      <c r="D55" s="1"/>
      <c r="E55" s="1"/>
    </row>
    <row r="56" spans="1:5" x14ac:dyDescent="0.25">
      <c r="A56" s="7" t="s">
        <v>37</v>
      </c>
      <c r="B56" s="1"/>
      <c r="C56" s="1"/>
      <c r="D56" s="1"/>
      <c r="E56" s="1"/>
    </row>
    <row r="57" spans="1:5" x14ac:dyDescent="0.25">
      <c r="A57" s="7" t="s">
        <v>38</v>
      </c>
      <c r="B57" s="1">
        <f>((B12/B10)-1)*100</f>
        <v>-1.4534191088872994</v>
      </c>
      <c r="C57" s="1">
        <f>((C12/C10)-1)*100</f>
        <v>-0.23576961940047214</v>
      </c>
      <c r="D57" s="1">
        <f>((D12/D10)-1)*100</f>
        <v>-75.657894736842096</v>
      </c>
      <c r="E57" s="1">
        <f>((E12/E10)-1)*100</f>
        <v>5.6691449814126438</v>
      </c>
    </row>
    <row r="58" spans="1:5" x14ac:dyDescent="0.25">
      <c r="A58" s="7" t="s">
        <v>39</v>
      </c>
      <c r="B58" s="1">
        <f>((B33/B32)-1)*100</f>
        <v>-0.95411067829284102</v>
      </c>
      <c r="C58" s="1">
        <f>((C33/C32)-1)*100</f>
        <v>6.6065545600305864</v>
      </c>
      <c r="D58" s="1">
        <f>((D33/D32)-1)*100</f>
        <v>-77.828258092607825</v>
      </c>
      <c r="E58" s="1">
        <f>((E33/E32)-1)*100</f>
        <v>4.4715279524590645</v>
      </c>
    </row>
    <row r="59" spans="1:5" x14ac:dyDescent="0.25">
      <c r="A59" s="7" t="s">
        <v>40</v>
      </c>
      <c r="B59" s="1">
        <f>((B35/B34)-1)*100</f>
        <v>0.50667250561047261</v>
      </c>
      <c r="C59" s="1">
        <f>((C35/C34)-1)*100</f>
        <v>6.8584944256349756</v>
      </c>
      <c r="D59" s="1">
        <f>((D35/D34)-1)*100</f>
        <v>-8.9160872993618749</v>
      </c>
      <c r="E59" s="1">
        <f>((E35/E34)-1)*100</f>
        <v>-1.1333649280158786</v>
      </c>
    </row>
    <row r="61" spans="1:5" x14ac:dyDescent="0.25">
      <c r="A61" s="7" t="s">
        <v>41</v>
      </c>
    </row>
    <row r="62" spans="1:5" x14ac:dyDescent="0.25">
      <c r="A62" s="7" t="s">
        <v>110</v>
      </c>
      <c r="B62" s="6">
        <f>B17/(B11*12)</f>
        <v>77510.115206916103</v>
      </c>
      <c r="C62" s="6">
        <f t="shared" ref="B62:E63" si="0">C17/(C11*12)</f>
        <v>33722.119265172107</v>
      </c>
      <c r="D62" s="6">
        <f t="shared" si="0"/>
        <v>152762.84823232322</v>
      </c>
      <c r="E62" s="6">
        <f t="shared" si="0"/>
        <v>188509.69366403279</v>
      </c>
    </row>
    <row r="63" spans="1:5" x14ac:dyDescent="0.25">
      <c r="A63" s="7" t="s">
        <v>111</v>
      </c>
      <c r="B63" s="6">
        <f t="shared" si="0"/>
        <v>75915.29758421985</v>
      </c>
      <c r="C63" s="6">
        <f t="shared" si="0"/>
        <v>33096.673776164753</v>
      </c>
      <c r="D63" s="6">
        <f t="shared" si="0"/>
        <v>139529.52702702704</v>
      </c>
      <c r="E63" s="6">
        <f t="shared" si="0"/>
        <v>185392.0233802404</v>
      </c>
    </row>
    <row r="64" spans="1:5" x14ac:dyDescent="0.25">
      <c r="A64" s="7" t="s">
        <v>42</v>
      </c>
      <c r="B64" s="1">
        <f>(B62/B63)*B46</f>
        <v>101.54140538728895</v>
      </c>
      <c r="C64" s="1">
        <f>(C62/C63)*C46</f>
        <v>101.56206679884171</v>
      </c>
      <c r="D64" s="1">
        <f>(D62/D63)*D46</f>
        <v>117.43813695261265</v>
      </c>
      <c r="E64" s="1">
        <f>E62/E63*E46</f>
        <v>100.66376276568712</v>
      </c>
    </row>
    <row r="65" spans="1:6" x14ac:dyDescent="0.25">
      <c r="A65" s="7" t="s">
        <v>108</v>
      </c>
      <c r="B65" s="7">
        <f t="shared" ref="B65:E66" si="1">B17/B11</f>
        <v>930121.3824829933</v>
      </c>
      <c r="C65" s="7">
        <f t="shared" si="1"/>
        <v>404665.43118206522</v>
      </c>
      <c r="D65" s="7">
        <f t="shared" si="1"/>
        <v>1833154.1787878787</v>
      </c>
      <c r="E65" s="7">
        <f t="shared" si="1"/>
        <v>2262116.3239683933</v>
      </c>
    </row>
    <row r="66" spans="1:6" x14ac:dyDescent="0.25">
      <c r="A66" s="7" t="s">
        <v>109</v>
      </c>
      <c r="B66" s="7">
        <f t="shared" si="1"/>
        <v>910983.57101063826</v>
      </c>
      <c r="C66" s="7">
        <f t="shared" si="1"/>
        <v>397160.08531397703</v>
      </c>
      <c r="D66" s="7">
        <f t="shared" si="1"/>
        <v>1674354.3243243243</v>
      </c>
      <c r="E66" s="7">
        <f t="shared" si="1"/>
        <v>2224704.2805628846</v>
      </c>
    </row>
    <row r="68" spans="1:6" x14ac:dyDescent="0.25">
      <c r="A68" s="7" t="s">
        <v>43</v>
      </c>
    </row>
    <row r="69" spans="1:6" x14ac:dyDescent="0.25">
      <c r="A69" s="7" t="s">
        <v>44</v>
      </c>
      <c r="B69" s="1">
        <f>(B24/B23)*100</f>
        <v>102.18253186766535</v>
      </c>
    </row>
    <row r="70" spans="1:6" x14ac:dyDescent="0.25">
      <c r="A70" s="7" t="s">
        <v>45</v>
      </c>
      <c r="B70" s="1">
        <f>(B18/B24)*100</f>
        <v>96.316217992414252</v>
      </c>
    </row>
    <row r="71" spans="1:6" ht="15.75" thickBot="1" x14ac:dyDescent="0.3">
      <c r="A71" s="20"/>
      <c r="B71" s="20"/>
      <c r="C71" s="20"/>
      <c r="D71" s="20"/>
      <c r="E71" s="20"/>
      <c r="F71" s="21"/>
    </row>
    <row r="72" spans="1:6" ht="15.75" thickTop="1" x14ac:dyDescent="0.25"/>
    <row r="73" spans="1:6" x14ac:dyDescent="0.25">
      <c r="A73" s="7" t="s">
        <v>57</v>
      </c>
    </row>
    <row r="74" spans="1:6" x14ac:dyDescent="0.25">
      <c r="A74" s="7" t="s">
        <v>58</v>
      </c>
    </row>
    <row r="75" spans="1:6" x14ac:dyDescent="0.25">
      <c r="A75" s="7" t="s">
        <v>103</v>
      </c>
    </row>
    <row r="76" spans="1:6" x14ac:dyDescent="0.25">
      <c r="A76" s="7" t="s">
        <v>59</v>
      </c>
    </row>
    <row r="77" spans="1:6" x14ac:dyDescent="0.25">
      <c r="A77" s="7" t="s">
        <v>60</v>
      </c>
    </row>
    <row r="79" spans="1:6" x14ac:dyDescent="0.25">
      <c r="A79" s="7" t="s">
        <v>106</v>
      </c>
    </row>
    <row r="80" spans="1:6" x14ac:dyDescent="0.25">
      <c r="A80" s="7" t="s">
        <v>123</v>
      </c>
    </row>
    <row r="81" spans="1:1" x14ac:dyDescent="0.25">
      <c r="A81" s="7" t="s">
        <v>114</v>
      </c>
    </row>
    <row r="82" spans="1:1" x14ac:dyDescent="0.25">
      <c r="A82" s="7" t="s">
        <v>120</v>
      </c>
    </row>
    <row r="83" spans="1:1" x14ac:dyDescent="0.25">
      <c r="A83" s="22" t="s">
        <v>121</v>
      </c>
    </row>
    <row r="84" spans="1:1" x14ac:dyDescent="0.25">
      <c r="A84" s="22" t="s">
        <v>122</v>
      </c>
    </row>
  </sheetData>
  <mergeCells count="3">
    <mergeCell ref="A2:E2"/>
    <mergeCell ref="A4:A5"/>
    <mergeCell ref="C4:E4"/>
  </mergeCells>
  <pageMargins left="0.7" right="0.7" top="0.75" bottom="0.75" header="0.3" footer="0.3"/>
  <pageSetup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 Trimestre</vt:lpstr>
      <vt:lpstr>II Trimestre</vt:lpstr>
      <vt:lpstr>III Trimestre</vt:lpstr>
      <vt:lpstr>IV Trimestre</vt:lpstr>
      <vt:lpstr>I Semestre</vt:lpstr>
      <vt:lpstr>III Trimestre Acumulado</vt:lpstr>
      <vt:lpstr>Anual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catherine.mata</dc:creator>
  <cp:lastModifiedBy>Horacio Rodriguez</cp:lastModifiedBy>
  <cp:lastPrinted>2012-07-30T17:01:50Z</cp:lastPrinted>
  <dcterms:created xsi:type="dcterms:W3CDTF">2012-02-17T20:51:13Z</dcterms:created>
  <dcterms:modified xsi:type="dcterms:W3CDTF">2013-10-29T20:19:04Z</dcterms:modified>
</cp:coreProperties>
</file>