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odriguez\Documents\Hermes Cliente\files\"/>
    </mc:Choice>
  </mc:AlternateContent>
  <bookViews>
    <workbookView xWindow="120" yWindow="135" windowWidth="17400" windowHeight="10005" activeTab="7"/>
  </bookViews>
  <sheets>
    <sheet name="I Trimestre" sheetId="4" r:id="rId1"/>
    <sheet name="II Trimestre" sheetId="5" r:id="rId2"/>
    <sheet name="III Trimestre" sheetId="6" r:id="rId3"/>
    <sheet name="IV Trimestre" sheetId="1" r:id="rId4"/>
    <sheet name="I Semestre" sheetId="2" r:id="rId5"/>
    <sheet name="III T Acumulado" sheetId="3" r:id="rId6"/>
    <sheet name="Anual" sheetId="7" r:id="rId7"/>
    <sheet name="Observaciones" sheetId="8" r:id="rId8"/>
  </sheets>
  <calcPr calcId="152511"/>
</workbook>
</file>

<file path=xl/calcChain.xml><?xml version="1.0" encoding="utf-8"?>
<calcChain xmlns="http://schemas.openxmlformats.org/spreadsheetml/2006/main">
  <c r="P23" i="7" l="1"/>
  <c r="C66" i="1" l="1"/>
  <c r="C63" i="1"/>
  <c r="C66" i="6"/>
  <c r="C63" i="6"/>
  <c r="C66" i="5"/>
  <c r="C63" i="5"/>
  <c r="C57" i="1"/>
  <c r="C57" i="6"/>
  <c r="C57" i="5"/>
  <c r="C50" i="1"/>
  <c r="C49" i="1"/>
  <c r="C50" i="6"/>
  <c r="C49" i="6"/>
  <c r="C50" i="5"/>
  <c r="C49" i="5"/>
  <c r="C45" i="1"/>
  <c r="C44" i="1"/>
  <c r="C45" i="6"/>
  <c r="C44" i="6"/>
  <c r="C45" i="5"/>
  <c r="C44" i="5"/>
  <c r="D33" i="1"/>
  <c r="D35" i="1" s="1"/>
  <c r="D33" i="6"/>
  <c r="D35" i="6" s="1"/>
  <c r="D33" i="5"/>
  <c r="D35" i="5" s="1"/>
  <c r="C66" i="4" l="1"/>
  <c r="C63" i="4"/>
  <c r="C57" i="4"/>
  <c r="C50" i="4"/>
  <c r="C49" i="4"/>
  <c r="C45" i="4"/>
  <c r="C44" i="4" l="1"/>
  <c r="D33" i="4"/>
  <c r="D35" i="4" s="1"/>
  <c r="D18" i="7"/>
  <c r="D33" i="7" s="1"/>
  <c r="D35" i="7" s="1"/>
  <c r="D18" i="3"/>
  <c r="D33" i="3" s="1"/>
  <c r="D18" i="2"/>
  <c r="D33" i="2" s="1"/>
  <c r="D20" i="1"/>
  <c r="D54" i="1" s="1"/>
  <c r="D20" i="6"/>
  <c r="D54" i="6" s="1"/>
  <c r="D20" i="5"/>
  <c r="D54" i="5" s="1"/>
  <c r="D20" i="4"/>
  <c r="D54" i="4" s="1"/>
  <c r="D12" i="7"/>
  <c r="D12" i="3"/>
  <c r="D12" i="2"/>
  <c r="D35" i="2" l="1"/>
  <c r="D35" i="3"/>
  <c r="D20" i="3"/>
  <c r="D54" i="3" s="1"/>
  <c r="D20" i="2"/>
  <c r="D54" i="2" s="1"/>
  <c r="D20" i="7"/>
  <c r="D54" i="7" s="1"/>
  <c r="B29" i="7"/>
  <c r="B29" i="3"/>
  <c r="B29" i="2"/>
  <c r="B29" i="1"/>
  <c r="B29" i="6"/>
  <c r="B29" i="5"/>
  <c r="B29" i="4"/>
  <c r="E40" i="4" l="1"/>
  <c r="C40" i="4"/>
  <c r="B40" i="4" l="1"/>
  <c r="F45" i="4"/>
  <c r="F46" i="4" s="1"/>
  <c r="F41" i="7" l="1"/>
  <c r="F40" i="7"/>
  <c r="E20" i="1"/>
  <c r="F20" i="1"/>
  <c r="F54" i="1" s="1"/>
  <c r="C20" i="1"/>
  <c r="E20" i="6"/>
  <c r="F20" i="6"/>
  <c r="C20" i="6"/>
  <c r="C54" i="6" s="1"/>
  <c r="G20" i="3"/>
  <c r="F41" i="3"/>
  <c r="F40" i="3"/>
  <c r="F41" i="2"/>
  <c r="F40" i="2"/>
  <c r="E66" i="1"/>
  <c r="E65" i="1"/>
  <c r="C65" i="1"/>
  <c r="E63" i="1"/>
  <c r="E62" i="1"/>
  <c r="C62" i="1"/>
  <c r="E57" i="1"/>
  <c r="E54" i="1"/>
  <c r="G50" i="1"/>
  <c r="G51" i="1" s="1"/>
  <c r="F50" i="1"/>
  <c r="F51" i="1" s="1"/>
  <c r="E50" i="1"/>
  <c r="E49" i="1"/>
  <c r="E51" i="1" s="1"/>
  <c r="G45" i="1"/>
  <c r="G46" i="1" s="1"/>
  <c r="F45" i="1"/>
  <c r="F46" i="1" s="1"/>
  <c r="E45" i="1"/>
  <c r="E44" i="1"/>
  <c r="E46" i="1" s="1"/>
  <c r="C46" i="1"/>
  <c r="F41" i="1"/>
  <c r="E41" i="1"/>
  <c r="C41" i="1"/>
  <c r="F40" i="1"/>
  <c r="E40" i="1"/>
  <c r="C40" i="1"/>
  <c r="E66" i="6"/>
  <c r="E65" i="6"/>
  <c r="C65" i="6"/>
  <c r="E63" i="6"/>
  <c r="E62" i="6"/>
  <c r="C62" i="6"/>
  <c r="E57" i="6"/>
  <c r="F54" i="6"/>
  <c r="E54" i="6"/>
  <c r="G50" i="6"/>
  <c r="G51" i="6" s="1"/>
  <c r="F50" i="6"/>
  <c r="F51" i="6" s="1"/>
  <c r="E50" i="6"/>
  <c r="E49" i="6"/>
  <c r="C51" i="6"/>
  <c r="G45" i="6"/>
  <c r="G46" i="6" s="1"/>
  <c r="F45" i="6"/>
  <c r="F46" i="6" s="1"/>
  <c r="E45" i="6"/>
  <c r="E44" i="6"/>
  <c r="E46" i="6" s="1"/>
  <c r="C46" i="6"/>
  <c r="F41" i="6"/>
  <c r="E41" i="6"/>
  <c r="C41" i="6"/>
  <c r="B41" i="6" s="1"/>
  <c r="F40" i="6"/>
  <c r="E40" i="6"/>
  <c r="C40" i="6"/>
  <c r="B16" i="5"/>
  <c r="B32" i="5" s="1"/>
  <c r="E66" i="5"/>
  <c r="E65" i="5"/>
  <c r="C65" i="5"/>
  <c r="E63" i="5"/>
  <c r="E62" i="5"/>
  <c r="C62" i="5"/>
  <c r="E57" i="5"/>
  <c r="G50" i="5"/>
  <c r="G51" i="5" s="1"/>
  <c r="F50" i="5"/>
  <c r="F51" i="5" s="1"/>
  <c r="E50" i="5"/>
  <c r="E49" i="5"/>
  <c r="G45" i="5"/>
  <c r="G46" i="5" s="1"/>
  <c r="F45" i="5"/>
  <c r="F46" i="5" s="1"/>
  <c r="E45" i="5"/>
  <c r="E44" i="5"/>
  <c r="C46" i="5"/>
  <c r="E41" i="5"/>
  <c r="C41" i="5"/>
  <c r="E40" i="5"/>
  <c r="C40" i="5"/>
  <c r="B40" i="5" s="1"/>
  <c r="E63" i="4"/>
  <c r="C62" i="4"/>
  <c r="E62" i="4"/>
  <c r="E66" i="4"/>
  <c r="C65" i="4"/>
  <c r="E65" i="4"/>
  <c r="E46" i="5" l="1"/>
  <c r="E51" i="5"/>
  <c r="E51" i="6"/>
  <c r="B40" i="1"/>
  <c r="B20" i="1"/>
  <c r="C51" i="1"/>
  <c r="B41" i="5"/>
  <c r="B40" i="6"/>
  <c r="B41" i="1"/>
  <c r="C54" i="1"/>
  <c r="C51" i="5"/>
  <c r="E64" i="1"/>
  <c r="C64" i="1"/>
  <c r="E64" i="6"/>
  <c r="C64" i="6"/>
  <c r="E64" i="5"/>
  <c r="C64" i="5"/>
  <c r="E49" i="4" l="1"/>
  <c r="B13" i="7"/>
  <c r="B13" i="3"/>
  <c r="B10" i="4"/>
  <c r="B13" i="4"/>
  <c r="B12" i="4"/>
  <c r="B11" i="4"/>
  <c r="C41" i="4"/>
  <c r="E41" i="4"/>
  <c r="C11" i="7"/>
  <c r="C40" i="7" s="1"/>
  <c r="E11" i="7"/>
  <c r="E40" i="7" s="1"/>
  <c r="C11" i="3"/>
  <c r="C40" i="3" s="1"/>
  <c r="E11" i="3"/>
  <c r="E40" i="3" s="1"/>
  <c r="C11" i="2"/>
  <c r="C40" i="2" s="1"/>
  <c r="E11" i="2"/>
  <c r="E40" i="2" s="1"/>
  <c r="B41" i="4" l="1"/>
  <c r="B57" i="4"/>
  <c r="B49" i="4"/>
  <c r="B44" i="4"/>
  <c r="E10" i="7"/>
  <c r="C10" i="7"/>
  <c r="E10" i="3"/>
  <c r="C10" i="3"/>
  <c r="E10" i="2"/>
  <c r="C10" i="2"/>
  <c r="E12" i="7" l="1"/>
  <c r="C12" i="7"/>
  <c r="E12" i="3"/>
  <c r="C12" i="3"/>
  <c r="E12" i="2"/>
  <c r="C12" i="2"/>
  <c r="C57" i="2" l="1"/>
  <c r="C49" i="2"/>
  <c r="C44" i="2"/>
  <c r="C49" i="3"/>
  <c r="C44" i="3"/>
  <c r="C57" i="3"/>
  <c r="C57" i="7"/>
  <c r="C49" i="7"/>
  <c r="C44" i="7"/>
  <c r="E49" i="2"/>
  <c r="E57" i="2"/>
  <c r="E44" i="2"/>
  <c r="E41" i="2"/>
  <c r="E49" i="3"/>
  <c r="E57" i="3"/>
  <c r="E44" i="3"/>
  <c r="E41" i="3"/>
  <c r="E49" i="7"/>
  <c r="E57" i="7"/>
  <c r="E44" i="7"/>
  <c r="E41" i="7"/>
  <c r="C41" i="2"/>
  <c r="C41" i="3"/>
  <c r="C41" i="7"/>
  <c r="B17" i="4"/>
  <c r="B18" i="4"/>
  <c r="B19" i="4"/>
  <c r="B16" i="4"/>
  <c r="B19" i="5"/>
  <c r="B19" i="1"/>
  <c r="B19" i="2"/>
  <c r="B19" i="3"/>
  <c r="B19" i="7"/>
  <c r="B65" i="4" l="1"/>
  <c r="B62" i="4"/>
  <c r="B63" i="4"/>
  <c r="B66" i="4"/>
  <c r="F20" i="4"/>
  <c r="E20" i="4"/>
  <c r="E54" i="4" s="1"/>
  <c r="C20" i="4"/>
  <c r="C54" i="4" s="1"/>
  <c r="F54" i="4"/>
  <c r="B33" i="4"/>
  <c r="B32" i="4"/>
  <c r="B34" i="4" s="1"/>
  <c r="B20" i="4" l="1"/>
  <c r="B58" i="4"/>
  <c r="B24" i="1"/>
  <c r="B24" i="6"/>
  <c r="B24" i="5"/>
  <c r="B24" i="4"/>
  <c r="G17" i="7"/>
  <c r="G18" i="7"/>
  <c r="G16" i="7"/>
  <c r="F17" i="7"/>
  <c r="F18" i="7"/>
  <c r="F16" i="7"/>
  <c r="E17" i="7"/>
  <c r="E18" i="7"/>
  <c r="C17" i="7"/>
  <c r="C18" i="7"/>
  <c r="G17" i="3"/>
  <c r="G18" i="3"/>
  <c r="G16" i="3"/>
  <c r="F17" i="3"/>
  <c r="F18" i="3"/>
  <c r="F16" i="3"/>
  <c r="E17" i="3"/>
  <c r="E18" i="3"/>
  <c r="C17" i="3"/>
  <c r="C18" i="3"/>
  <c r="G17" i="2"/>
  <c r="G18" i="2"/>
  <c r="G16" i="2"/>
  <c r="F17" i="2"/>
  <c r="F18" i="2"/>
  <c r="F16" i="2"/>
  <c r="E17" i="2"/>
  <c r="E18" i="2"/>
  <c r="C17" i="2"/>
  <c r="B40" i="2" s="1"/>
  <c r="C18" i="2"/>
  <c r="B41" i="7" l="1"/>
  <c r="C66" i="7"/>
  <c r="C63" i="7"/>
  <c r="C50" i="7"/>
  <c r="C45" i="7"/>
  <c r="B41" i="3"/>
  <c r="C50" i="3"/>
  <c r="C45" i="3"/>
  <c r="C46" i="3" s="1"/>
  <c r="C66" i="3"/>
  <c r="C63" i="3"/>
  <c r="B41" i="2"/>
  <c r="C66" i="2"/>
  <c r="C63" i="2"/>
  <c r="C50" i="2"/>
  <c r="C45" i="2"/>
  <c r="B40" i="3"/>
  <c r="B40" i="7"/>
  <c r="E62" i="2"/>
  <c r="E65" i="2"/>
  <c r="C46" i="2"/>
  <c r="C51" i="2"/>
  <c r="E50" i="2"/>
  <c r="E51" i="2" s="1"/>
  <c r="E63" i="2"/>
  <c r="E66" i="2"/>
  <c r="E45" i="2"/>
  <c r="E46" i="2" s="1"/>
  <c r="C51" i="3"/>
  <c r="E63" i="3"/>
  <c r="E66" i="3"/>
  <c r="E50" i="3"/>
  <c r="E51" i="3" s="1"/>
  <c r="E45" i="3"/>
  <c r="E46" i="3" s="1"/>
  <c r="C51" i="7"/>
  <c r="C46" i="7"/>
  <c r="E63" i="7"/>
  <c r="E66" i="7"/>
  <c r="E45" i="7"/>
  <c r="E46" i="7" s="1"/>
  <c r="E50" i="7"/>
  <c r="E51" i="7" s="1"/>
  <c r="B54" i="4"/>
  <c r="C62" i="2"/>
  <c r="C65" i="2"/>
  <c r="F45" i="2"/>
  <c r="F50" i="2"/>
  <c r="F51" i="2" s="1"/>
  <c r="C62" i="3"/>
  <c r="C65" i="3"/>
  <c r="E62" i="3"/>
  <c r="E65" i="3"/>
  <c r="F45" i="3"/>
  <c r="F50" i="3"/>
  <c r="F51" i="3" s="1"/>
  <c r="C62" i="7"/>
  <c r="C65" i="7"/>
  <c r="E62" i="7"/>
  <c r="E65" i="7"/>
  <c r="F50" i="7"/>
  <c r="F51" i="7" s="1"/>
  <c r="F45" i="7"/>
  <c r="G50" i="2"/>
  <c r="G51" i="2" s="1"/>
  <c r="G45" i="2"/>
  <c r="G50" i="3"/>
  <c r="G51" i="3" s="1"/>
  <c r="G45" i="3"/>
  <c r="G45" i="7"/>
  <c r="G50" i="7"/>
  <c r="G51" i="7" s="1"/>
  <c r="B24" i="7"/>
  <c r="B17" i="7"/>
  <c r="B18" i="2"/>
  <c r="B17" i="2"/>
  <c r="B18" i="7"/>
  <c r="B24" i="3"/>
  <c r="B24" i="2"/>
  <c r="C64" i="7" l="1"/>
  <c r="E64" i="7"/>
  <c r="E64" i="3"/>
  <c r="C64" i="3"/>
  <c r="C64" i="2"/>
  <c r="E64" i="2"/>
  <c r="B23" i="2"/>
  <c r="B69" i="2" s="1"/>
  <c r="B23" i="7"/>
  <c r="B69" i="7" s="1"/>
  <c r="B70" i="7"/>
  <c r="B45" i="7"/>
  <c r="B50" i="7"/>
  <c r="B70" i="2"/>
  <c r="B50" i="2"/>
  <c r="B45" i="2"/>
  <c r="B17" i="1"/>
  <c r="B18" i="1"/>
  <c r="B16" i="1"/>
  <c r="B50" i="1" l="1"/>
  <c r="B45" i="1"/>
  <c r="B70" i="1"/>
  <c r="B54" i="1"/>
  <c r="B23" i="1"/>
  <c r="B69" i="1" s="1"/>
  <c r="B17" i="3"/>
  <c r="B18" i="3"/>
  <c r="B13" i="2"/>
  <c r="B12" i="5"/>
  <c r="B11" i="1"/>
  <c r="B12" i="1"/>
  <c r="B63" i="1" s="1"/>
  <c r="B13" i="1"/>
  <c r="G33" i="7"/>
  <c r="F33" i="7"/>
  <c r="E33" i="7"/>
  <c r="C33" i="7"/>
  <c r="B33" i="7"/>
  <c r="G32" i="7"/>
  <c r="F32" i="7"/>
  <c r="G33" i="3"/>
  <c r="F33" i="3"/>
  <c r="E33" i="3"/>
  <c r="C33" i="3"/>
  <c r="G32" i="3"/>
  <c r="F32" i="3"/>
  <c r="F58" i="3" s="1"/>
  <c r="G33" i="2"/>
  <c r="F33" i="2"/>
  <c r="E33" i="2"/>
  <c r="C33" i="2"/>
  <c r="B33" i="2"/>
  <c r="G32" i="2"/>
  <c r="F32" i="2"/>
  <c r="B10" i="1"/>
  <c r="C35" i="7" l="1"/>
  <c r="C35" i="2"/>
  <c r="F58" i="7"/>
  <c r="G58" i="7"/>
  <c r="B62" i="1"/>
  <c r="F58" i="2"/>
  <c r="B65" i="1"/>
  <c r="B57" i="1"/>
  <c r="B49" i="1"/>
  <c r="B51" i="1" s="1"/>
  <c r="B44" i="1"/>
  <c r="B46" i="1" s="1"/>
  <c r="B66" i="1"/>
  <c r="B70" i="3"/>
  <c r="B50" i="3"/>
  <c r="B45" i="3"/>
  <c r="G58" i="2"/>
  <c r="G58" i="3"/>
  <c r="E35" i="3"/>
  <c r="E35" i="2"/>
  <c r="B33" i="3"/>
  <c r="E35" i="7"/>
  <c r="C35" i="3"/>
  <c r="B12" i="2"/>
  <c r="B35" i="2" s="1"/>
  <c r="B12" i="3"/>
  <c r="B12" i="7"/>
  <c r="B23" i="3"/>
  <c r="B69" i="3" s="1"/>
  <c r="B64" i="1" l="1"/>
  <c r="B49" i="2"/>
  <c r="B51" i="2" s="1"/>
  <c r="B63" i="2"/>
  <c r="B66" i="2"/>
  <c r="B49" i="3"/>
  <c r="B51" i="3" s="1"/>
  <c r="B66" i="3"/>
  <c r="B63" i="3"/>
  <c r="B35" i="7"/>
  <c r="B49" i="7"/>
  <c r="B51" i="7" s="1"/>
  <c r="B63" i="7"/>
  <c r="B66" i="7"/>
  <c r="B35" i="3"/>
  <c r="G33" i="1" l="1"/>
  <c r="F33" i="1"/>
  <c r="E33" i="1"/>
  <c r="C33" i="1"/>
  <c r="C58" i="1" s="1"/>
  <c r="B33" i="1"/>
  <c r="G32" i="1"/>
  <c r="F32" i="1"/>
  <c r="E32" i="1"/>
  <c r="E34" i="1" s="1"/>
  <c r="C32" i="1"/>
  <c r="C34" i="1" s="1"/>
  <c r="B32" i="1"/>
  <c r="B34" i="1" s="1"/>
  <c r="G33" i="6"/>
  <c r="F33" i="6"/>
  <c r="E33" i="6"/>
  <c r="C33" i="6"/>
  <c r="G32" i="6"/>
  <c r="F32" i="6"/>
  <c r="E32" i="6"/>
  <c r="E34" i="6" s="1"/>
  <c r="C32" i="6"/>
  <c r="C34" i="6" s="1"/>
  <c r="B19" i="6"/>
  <c r="B18" i="6"/>
  <c r="B17" i="6"/>
  <c r="B16" i="6"/>
  <c r="B32" i="6" s="1"/>
  <c r="B13" i="6"/>
  <c r="B12" i="6"/>
  <c r="B11" i="6"/>
  <c r="B10" i="6"/>
  <c r="G33" i="5"/>
  <c r="F33" i="5"/>
  <c r="E33" i="5"/>
  <c r="C33" i="5"/>
  <c r="G32" i="5"/>
  <c r="G58" i="5" s="1"/>
  <c r="F32" i="5"/>
  <c r="F58" i="5" s="1"/>
  <c r="F20" i="5"/>
  <c r="E20" i="5"/>
  <c r="C20" i="5"/>
  <c r="B18" i="5"/>
  <c r="B17" i="5"/>
  <c r="B13" i="5"/>
  <c r="B49" i="5" s="1"/>
  <c r="B70" i="4"/>
  <c r="B69" i="4"/>
  <c r="E57" i="4"/>
  <c r="G50" i="4"/>
  <c r="G51" i="4" s="1"/>
  <c r="F50" i="4"/>
  <c r="F51" i="4" s="1"/>
  <c r="E50" i="4"/>
  <c r="B50" i="4"/>
  <c r="G45" i="4"/>
  <c r="G46" i="4" s="1"/>
  <c r="E45" i="4"/>
  <c r="B45" i="4"/>
  <c r="B46" i="4" s="1"/>
  <c r="E44" i="4"/>
  <c r="G33" i="4"/>
  <c r="F33" i="4"/>
  <c r="E33" i="4"/>
  <c r="C33" i="4"/>
  <c r="B35" i="4"/>
  <c r="G32" i="4"/>
  <c r="F32" i="4"/>
  <c r="E32" i="4"/>
  <c r="E34" i="4" s="1"/>
  <c r="C32" i="4"/>
  <c r="C34" i="4" s="1"/>
  <c r="C58" i="6" l="1"/>
  <c r="C58" i="4"/>
  <c r="C46" i="4"/>
  <c r="C64" i="4" s="1"/>
  <c r="E46" i="4"/>
  <c r="E35" i="4"/>
  <c r="E59" i="4" s="1"/>
  <c r="E58" i="4"/>
  <c r="C54" i="5"/>
  <c r="C20" i="3"/>
  <c r="C20" i="7"/>
  <c r="C20" i="2"/>
  <c r="C54" i="2" s="1"/>
  <c r="F54" i="5"/>
  <c r="F20" i="2"/>
  <c r="F54" i="2" s="1"/>
  <c r="F20" i="3"/>
  <c r="F54" i="3" s="1"/>
  <c r="F20" i="7"/>
  <c r="F54" i="7" s="1"/>
  <c r="B23" i="6"/>
  <c r="B69" i="6" s="1"/>
  <c r="B65" i="6"/>
  <c r="B62" i="6"/>
  <c r="B35" i="1"/>
  <c r="B59" i="1" s="1"/>
  <c r="B58" i="1"/>
  <c r="E35" i="1"/>
  <c r="E59" i="1" s="1"/>
  <c r="E58" i="1"/>
  <c r="E58" i="6"/>
  <c r="G58" i="6"/>
  <c r="G58" i="1"/>
  <c r="C35" i="4"/>
  <c r="C59" i="4" s="1"/>
  <c r="B33" i="5"/>
  <c r="B58" i="5" s="1"/>
  <c r="B70" i="5"/>
  <c r="B66" i="5"/>
  <c r="B50" i="5"/>
  <c r="B51" i="5" s="1"/>
  <c r="B45" i="5"/>
  <c r="B63" i="5"/>
  <c r="E54" i="5"/>
  <c r="E20" i="7"/>
  <c r="E54" i="7" s="1"/>
  <c r="E20" i="2"/>
  <c r="E54" i="2" s="1"/>
  <c r="E20" i="3"/>
  <c r="E54" i="3" s="1"/>
  <c r="B57" i="6"/>
  <c r="B49" i="6"/>
  <c r="B44" i="6"/>
  <c r="B70" i="6"/>
  <c r="B66" i="6"/>
  <c r="B63" i="6"/>
  <c r="B50" i="6"/>
  <c r="B45" i="6"/>
  <c r="C35" i="6"/>
  <c r="C59" i="6" s="1"/>
  <c r="C35" i="1"/>
  <c r="C59" i="1" s="1"/>
  <c r="F58" i="4"/>
  <c r="F58" i="6"/>
  <c r="F58" i="1"/>
  <c r="G58" i="4"/>
  <c r="C35" i="5"/>
  <c r="B20" i="5"/>
  <c r="C16" i="7"/>
  <c r="C16" i="3"/>
  <c r="C16" i="2"/>
  <c r="B51" i="4"/>
  <c r="B10" i="5"/>
  <c r="B20" i="6"/>
  <c r="B54" i="6" s="1"/>
  <c r="B11" i="5"/>
  <c r="B65" i="5" s="1"/>
  <c r="E51" i="4"/>
  <c r="C51" i="4"/>
  <c r="B34" i="6"/>
  <c r="B33" i="6"/>
  <c r="B58" i="6" s="1"/>
  <c r="E35" i="6"/>
  <c r="E59" i="6" s="1"/>
  <c r="B23" i="5"/>
  <c r="B69" i="5" s="1"/>
  <c r="C32" i="5"/>
  <c r="C58" i="5" s="1"/>
  <c r="E35" i="5"/>
  <c r="B64" i="4"/>
  <c r="E64" i="4"/>
  <c r="B59" i="4"/>
  <c r="B20" i="7" l="1"/>
  <c r="B54" i="7" s="1"/>
  <c r="C54" i="7"/>
  <c r="B46" i="6"/>
  <c r="B64" i="6" s="1"/>
  <c r="B44" i="5"/>
  <c r="B46" i="5" s="1"/>
  <c r="B34" i="5"/>
  <c r="B57" i="5"/>
  <c r="B54" i="5"/>
  <c r="B20" i="2"/>
  <c r="B54" i="2" s="1"/>
  <c r="B20" i="3"/>
  <c r="B54" i="3" s="1"/>
  <c r="C54" i="3"/>
  <c r="B51" i="6"/>
  <c r="B62" i="5"/>
  <c r="B64" i="5" s="1"/>
  <c r="C34" i="5"/>
  <c r="C59" i="5" s="1"/>
  <c r="B35" i="5"/>
  <c r="B11" i="3"/>
  <c r="B10" i="2"/>
  <c r="B57" i="2" s="1"/>
  <c r="C32" i="3"/>
  <c r="C58" i="3" s="1"/>
  <c r="B11" i="2"/>
  <c r="B11" i="7"/>
  <c r="B10" i="7"/>
  <c r="B57" i="7" s="1"/>
  <c r="B10" i="3"/>
  <c r="B57" i="3" s="1"/>
  <c r="E32" i="5"/>
  <c r="E58" i="5" s="1"/>
  <c r="E16" i="3"/>
  <c r="E16" i="2"/>
  <c r="B16" i="2" s="1"/>
  <c r="E16" i="7"/>
  <c r="B16" i="7" s="1"/>
  <c r="C32" i="2"/>
  <c r="C58" i="2" s="1"/>
  <c r="C32" i="7"/>
  <c r="C58" i="7" s="1"/>
  <c r="B35" i="6"/>
  <c r="B59" i="6" s="1"/>
  <c r="B65" i="2" l="1"/>
  <c r="B62" i="2"/>
  <c r="B44" i="2"/>
  <c r="B46" i="2" s="1"/>
  <c r="B59" i="5"/>
  <c r="B62" i="7"/>
  <c r="B65" i="7"/>
  <c r="B44" i="7"/>
  <c r="B46" i="7" s="1"/>
  <c r="B65" i="3"/>
  <c r="B62" i="3"/>
  <c r="B44" i="3"/>
  <c r="B46" i="3" s="1"/>
  <c r="C34" i="3"/>
  <c r="C59" i="3" s="1"/>
  <c r="C34" i="7"/>
  <c r="C59" i="7" s="1"/>
  <c r="C34" i="2"/>
  <c r="C59" i="2" s="1"/>
  <c r="B32" i="2"/>
  <c r="E32" i="2"/>
  <c r="E34" i="5"/>
  <c r="E59" i="5" s="1"/>
  <c r="B32" i="7"/>
  <c r="E32" i="7"/>
  <c r="E32" i="3"/>
  <c r="B16" i="3"/>
  <c r="B64" i="2" l="1"/>
  <c r="B64" i="7"/>
  <c r="B64" i="3"/>
  <c r="E34" i="3"/>
  <c r="E59" i="3" s="1"/>
  <c r="E58" i="3"/>
  <c r="E34" i="2"/>
  <c r="E59" i="2" s="1"/>
  <c r="E58" i="2"/>
  <c r="E34" i="7"/>
  <c r="E59" i="7" s="1"/>
  <c r="E58" i="7"/>
  <c r="B34" i="7"/>
  <c r="B59" i="7" s="1"/>
  <c r="B58" i="7"/>
  <c r="B34" i="2"/>
  <c r="B59" i="2" s="1"/>
  <c r="B58" i="2"/>
  <c r="B32" i="3"/>
  <c r="B34" i="3" l="1"/>
  <c r="B59" i="3" s="1"/>
  <c r="B58" i="3"/>
</calcChain>
</file>

<file path=xl/comments1.xml><?xml version="1.0" encoding="utf-8"?>
<comments xmlns="http://schemas.openxmlformats.org/spreadsheetml/2006/main">
  <authors>
    <author>Diego Astorga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</commentList>
</comments>
</file>

<file path=xl/comments2.xml><?xml version="1.0" encoding="utf-8"?>
<comments xmlns="http://schemas.openxmlformats.org/spreadsheetml/2006/main">
  <authors>
    <author>Diego Astorga</author>
    <author>catherine.mata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  <comment ref="A16" authorId="1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Utilizando el monto promedio por pensión</t>
        </r>
      </text>
    </comment>
  </commentList>
</comments>
</file>

<file path=xl/comments3.xml><?xml version="1.0" encoding="utf-8"?>
<comments xmlns="http://schemas.openxmlformats.org/spreadsheetml/2006/main">
  <authors>
    <author>Diego Astorga</author>
    <author>catherine.mata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  <comment ref="A16" authorId="1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Utilizando el monto promedio por pensión</t>
        </r>
      </text>
    </comment>
  </commentList>
</comments>
</file>

<file path=xl/comments4.xml><?xml version="1.0" encoding="utf-8"?>
<comments xmlns="http://schemas.openxmlformats.org/spreadsheetml/2006/main">
  <authors>
    <author>Diego Astorga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</commentList>
</comments>
</file>

<file path=xl/comments5.xml><?xml version="1.0" encoding="utf-8"?>
<comments xmlns="http://schemas.openxmlformats.org/spreadsheetml/2006/main">
  <authors>
    <author>Diego Astorga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</commentList>
</comments>
</file>

<file path=xl/comments6.xml><?xml version="1.0" encoding="utf-8"?>
<comments xmlns="http://schemas.openxmlformats.org/spreadsheetml/2006/main">
  <authors>
    <author>Diego Astorga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</commentList>
</comments>
</file>

<file path=xl/comments7.xml><?xml version="1.0" encoding="utf-8"?>
<comments xmlns="http://schemas.openxmlformats.org/spreadsheetml/2006/main">
  <authors>
    <author>Diego Astorga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</commentList>
</comments>
</file>

<file path=xl/sharedStrings.xml><?xml version="1.0" encoding="utf-8"?>
<sst xmlns="http://schemas.openxmlformats.org/spreadsheetml/2006/main" count="507" uniqueCount="130">
  <si>
    <t>Indicadores propuestos aplicado a RNC. Primer trimestre 2011</t>
  </si>
  <si>
    <t>Indicador</t>
  </si>
  <si>
    <t>Productos</t>
  </si>
  <si>
    <t>Cuotas SS</t>
  </si>
  <si>
    <t>Otros gastos</t>
  </si>
  <si>
    <t>Insumos</t>
  </si>
  <si>
    <t>Efectivos 1T 2010</t>
  </si>
  <si>
    <t>Programados 1T 2011</t>
  </si>
  <si>
    <t>Efectivos 1T 2011</t>
  </si>
  <si>
    <t>Programados año 2011</t>
  </si>
  <si>
    <t>Gasto FODESAF</t>
  </si>
  <si>
    <t>En transferencias 1T 2011</t>
  </si>
  <si>
    <t>Ingresos FODESAF</t>
  </si>
  <si>
    <t>Otros insumos</t>
  </si>
  <si>
    <t>IPC (1T 2010)</t>
  </si>
  <si>
    <t>IPC (1T 2011)</t>
  </si>
  <si>
    <t>Población objetivo</t>
  </si>
  <si>
    <t>Cálculos intermedios</t>
  </si>
  <si>
    <t>Gasto efectivo real 1T 2010</t>
  </si>
  <si>
    <t>Gasto efectivo real 1T 2011</t>
  </si>
  <si>
    <t>Gasto efectivo real por beneficiario 1T 2010</t>
  </si>
  <si>
    <t>Gasto efectivo real por beneficiario 1T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</si>
  <si>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</si>
  <si>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</si>
  <si>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</si>
  <si>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</si>
  <si>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</si>
  <si>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</si>
  <si>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</si>
  <si>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</si>
  <si>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</si>
  <si>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</si>
  <si>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</si>
  <si>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</si>
  <si>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</si>
  <si>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</si>
  <si>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</si>
  <si>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</si>
  <si>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</si>
  <si>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</si>
  <si>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</si>
  <si>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</si>
  <si>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</si>
  <si>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</si>
  <si>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Indicadores propuestos aplicado a RNC. Segundo trimestre 2011</t>
  </si>
  <si>
    <t>Efectivos 2T 2010</t>
  </si>
  <si>
    <t>Programados 2T 2011</t>
  </si>
  <si>
    <t>Efectivos 2T 2011</t>
  </si>
  <si>
    <t>En transferencias 2T 2011</t>
  </si>
  <si>
    <t>IPC (2T 2010)</t>
  </si>
  <si>
    <t>IPC (2T 2011)</t>
  </si>
  <si>
    <t>Gasto efectivo real 2T 2010</t>
  </si>
  <si>
    <t>Gasto efectivo real 2T 2011</t>
  </si>
  <si>
    <t>Gasto efectivo real por beneficiario 2T 2010</t>
  </si>
  <si>
    <t>Gasto efectivo real por beneficiario 2T 2011</t>
  </si>
  <si>
    <t>Fuentes:</t>
  </si>
  <si>
    <t>Indicadores propuestos aplicado a RNC. Tercer trimestre 2011</t>
  </si>
  <si>
    <t>Efectivos 3T 2010</t>
  </si>
  <si>
    <t>Programados 3T 2011</t>
  </si>
  <si>
    <t>Efectivos 3T 2011</t>
  </si>
  <si>
    <t>En transferencias 3T 2011</t>
  </si>
  <si>
    <t>IPC (3T 2010)</t>
  </si>
  <si>
    <t>IPC (3T 2011)</t>
  </si>
  <si>
    <t>Gasto efectivo real 3T 2010</t>
  </si>
  <si>
    <t>Gasto efectivo real 3T 2011</t>
  </si>
  <si>
    <t>Gasto efectivo real por beneficiario 3T 2010</t>
  </si>
  <si>
    <t>Gasto efectivo real por beneficiario 3T 2011</t>
  </si>
  <si>
    <t>Indicadores propuestos aplicado a RNC. Cuarto trimestre 2011</t>
  </si>
  <si>
    <t>Efectivos 4T 2010</t>
  </si>
  <si>
    <t>Programados 4T 2011</t>
  </si>
  <si>
    <t>Efectivos 4T 2011</t>
  </si>
  <si>
    <t>En transferencias 4T 2011</t>
  </si>
  <si>
    <t>IPC (4T 2010)</t>
  </si>
  <si>
    <t>IPC (4T 2011)</t>
  </si>
  <si>
    <t>Gasto efectivo real 4T 2010</t>
  </si>
  <si>
    <t>Gasto efectivo real 4T 2011</t>
  </si>
  <si>
    <t>Gasto efectivo real por beneficiario 4T 2010</t>
  </si>
  <si>
    <t>Gasto efectivo real por beneficiario 4T 2011</t>
  </si>
  <si>
    <t>Indicadores propuestos aplicado a RNC. Primer Semestre 2011</t>
  </si>
  <si>
    <t>Efectivos 1S 2010</t>
  </si>
  <si>
    <t>Programados 1S 2011</t>
  </si>
  <si>
    <t>Efectivos 1S 2011</t>
  </si>
  <si>
    <t>En transferencias 1S 2011</t>
  </si>
  <si>
    <t>IPC (1S 2010)</t>
  </si>
  <si>
    <t>IPC (1S 2011)</t>
  </si>
  <si>
    <t>Gasto efectivo real 1S 2010</t>
  </si>
  <si>
    <t>Gasto efectivo real 1S 2011</t>
  </si>
  <si>
    <t>Gasto efectivo real por beneficiario 1S 2010</t>
  </si>
  <si>
    <t>Gasto efectivo real por beneficiario 1S 2011</t>
  </si>
  <si>
    <t>Indicadores propuestos aplicado a RNC. Tercer trimestre ACUMULADO 2011</t>
  </si>
  <si>
    <t>Efectivos  2010</t>
  </si>
  <si>
    <t>Programados  2011</t>
  </si>
  <si>
    <t>Efectivos  2011</t>
  </si>
  <si>
    <t>En transferencias  2011</t>
  </si>
  <si>
    <t>IPC ( 2010)</t>
  </si>
  <si>
    <t>IPC ( 2011)</t>
  </si>
  <si>
    <t>Gasto efectivo real  2010</t>
  </si>
  <si>
    <t>Gasto efectivo real  2011</t>
  </si>
  <si>
    <t>Gasto efectivo real por beneficiario  2010</t>
  </si>
  <si>
    <t>Gasto efectivo real por beneficiario  2011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</si>
  <si>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</si>
  <si>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</si>
  <si>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</si>
  <si>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</si>
  <si>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</si>
  <si>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Total Programa</t>
  </si>
  <si>
    <t>Pensión Ordinaria</t>
  </si>
  <si>
    <t>Parálisis Cerebral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</si>
  <si>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</si>
  <si>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</si>
  <si>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</si>
  <si>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</si>
  <si>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</si>
  <si>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</si>
  <si>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 xml:space="preserve">Beneficiarios: personas (promedio mensual) </t>
  </si>
  <si>
    <t>En el cuarto Trimestre se incluyen los gastos de aguinaldo</t>
  </si>
  <si>
    <t>Informe de liquidación presupuestaria a diciembre 2010, RNC. Dirección de Presupuesto, CCSS</t>
  </si>
  <si>
    <t>Proyecto de Presupuesto del RNC para el año 2011, CCSS</t>
  </si>
  <si>
    <t>Informes Trimestrales 2011, RNC, CCSS</t>
  </si>
  <si>
    <t>Notas:</t>
  </si>
  <si>
    <t>Para cobertura se utiliza el promedio de beneficiarios atendidos en el período.</t>
  </si>
  <si>
    <t>los beneficiarios son los mismos de un mes a otro en su mayoría, sin embargo, puede haber entradas y salidas de algunos beneficiarios</t>
  </si>
  <si>
    <t>Población objetivo:</t>
  </si>
  <si>
    <t>Pensiones ordinarias: adultos mayores de 64 años pobres sin pensión contributiva ni seguro contributivo.</t>
  </si>
  <si>
    <t>Pensiones parálisis cerebral severa: personas pobres que no pueden hablar, caminar ni mover los brazos o manos (dos de tres opciones)</t>
  </si>
  <si>
    <t>Otros</t>
  </si>
  <si>
    <t>Adultos Mayores</t>
  </si>
  <si>
    <t>nd</t>
  </si>
  <si>
    <t>na</t>
  </si>
  <si>
    <t>Indicadores propuestos aplicado a RNC. Año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</si>
</sst>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____"/>
    <numFmt numFmtId="165" formatCode="#,##0.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Fill="1"/>
    <xf numFmtId="165" fontId="0" fillId="0" borderId="0" xfId="0" applyNumberFormat="1"/>
    <xf numFmtId="43" fontId="0" fillId="0" borderId="0" xfId="1" applyFont="1"/>
    <xf numFmtId="43" fontId="0" fillId="0" borderId="0" xfId="1" applyFont="1" applyFill="1"/>
    <xf numFmtId="3" fontId="0" fillId="0" borderId="0" xfId="0" applyNumberFormat="1" applyFill="1"/>
    <xf numFmtId="166" fontId="0" fillId="0" borderId="0" xfId="1" applyNumberFormat="1" applyFont="1" applyFill="1"/>
    <xf numFmtId="0" fontId="0" fillId="0" borderId="0" xfId="0" applyFill="1"/>
    <xf numFmtId="2" fontId="0" fillId="0" borderId="0" xfId="0" applyNumberFormat="1"/>
    <xf numFmtId="0" fontId="0" fillId="0" borderId="0" xfId="0" applyAlignment="1">
      <alignment horizontal="left" indent="3"/>
    </xf>
    <xf numFmtId="0" fontId="6" fillId="0" borderId="0" xfId="0" applyFont="1" applyAlignment="1">
      <alignment horizontal="center"/>
    </xf>
    <xf numFmtId="166" fontId="0" fillId="0" borderId="0" xfId="1" applyNumberFormat="1" applyFont="1"/>
    <xf numFmtId="166" fontId="0" fillId="0" borderId="3" xfId="1" applyNumberFormat="1" applyFont="1" applyBorder="1" applyAlignment="1">
      <alignment horizontal="center"/>
    </xf>
    <xf numFmtId="166" fontId="6" fillId="0" borderId="0" xfId="1" applyNumberFormat="1" applyFont="1" applyAlignment="1">
      <alignment horizontal="center"/>
    </xf>
    <xf numFmtId="166" fontId="2" fillId="0" borderId="0" xfId="1" applyNumberFormat="1" applyFont="1"/>
    <xf numFmtId="166" fontId="0" fillId="0" borderId="0" xfId="1" applyNumberFormat="1" applyFont="1" applyAlignment="1">
      <alignment horizontal="left" indent="1"/>
    </xf>
    <xf numFmtId="166" fontId="0" fillId="0" borderId="0" xfId="1" applyNumberFormat="1" applyFont="1" applyAlignment="1">
      <alignment horizontal="left" indent="3"/>
    </xf>
    <xf numFmtId="166" fontId="0" fillId="0" borderId="4" xfId="1" applyNumberFormat="1" applyFont="1" applyBorder="1" applyAlignment="1"/>
    <xf numFmtId="166" fontId="0" fillId="0" borderId="1" xfId="1" applyNumberFormat="1" applyFont="1" applyBorder="1" applyAlignment="1">
      <alignment horizontal="center" vertical="center"/>
    </xf>
    <xf numFmtId="166" fontId="0" fillId="0" borderId="3" xfId="1" applyNumberFormat="1" applyFont="1" applyBorder="1" applyAlignment="1">
      <alignment horizontal="center" vertical="center"/>
    </xf>
    <xf numFmtId="166" fontId="3" fillId="0" borderId="0" xfId="1" applyNumberFormat="1" applyFont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2" fontId="0" fillId="0" borderId="0" xfId="0" applyNumberFormat="1" applyFill="1"/>
    <xf numFmtId="0" fontId="2" fillId="0" borderId="0" xfId="0" applyFont="1" applyFill="1"/>
    <xf numFmtId="0" fontId="0" fillId="0" borderId="3" xfId="0" applyFill="1" applyBorder="1"/>
    <xf numFmtId="166" fontId="0" fillId="0" borderId="1" xfId="1" applyNumberFormat="1" applyFont="1" applyFill="1" applyBorder="1" applyAlignment="1">
      <alignment horizontal="center" vertical="center"/>
    </xf>
    <xf numFmtId="166" fontId="0" fillId="0" borderId="2" xfId="1" applyNumberFormat="1" applyFont="1" applyFill="1" applyBorder="1" applyAlignment="1">
      <alignment horizontal="center"/>
    </xf>
    <xf numFmtId="166" fontId="0" fillId="0" borderId="3" xfId="1" applyNumberFormat="1" applyFont="1" applyFill="1" applyBorder="1" applyAlignment="1">
      <alignment horizontal="center" vertical="center"/>
    </xf>
    <xf numFmtId="166" fontId="0" fillId="0" borderId="4" xfId="1" applyNumberFormat="1" applyFont="1" applyFill="1" applyBorder="1" applyAlignment="1">
      <alignment horizontal="center"/>
    </xf>
    <xf numFmtId="166" fontId="0" fillId="0" borderId="3" xfId="1" applyNumberFormat="1" applyFont="1" applyFill="1" applyBorder="1" applyAlignment="1">
      <alignment horizontal="center"/>
    </xf>
    <xf numFmtId="166" fontId="6" fillId="0" borderId="0" xfId="1" applyNumberFormat="1" applyFont="1" applyFill="1" applyAlignment="1">
      <alignment horizontal="center"/>
    </xf>
    <xf numFmtId="166" fontId="2" fillId="0" borderId="0" xfId="1" applyNumberFormat="1" applyFont="1" applyFill="1"/>
    <xf numFmtId="166" fontId="0" fillId="0" borderId="0" xfId="1" applyNumberFormat="1" applyFont="1" applyFill="1" applyAlignment="1">
      <alignment horizontal="left" indent="1"/>
    </xf>
    <xf numFmtId="166" fontId="0" fillId="0" borderId="0" xfId="1" applyNumberFormat="1" applyFont="1" applyFill="1" applyAlignment="1">
      <alignment horizontal="left"/>
    </xf>
    <xf numFmtId="166" fontId="0" fillId="0" borderId="3" xfId="1" applyNumberFormat="1" applyFont="1" applyFill="1" applyBorder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5" fontId="0" fillId="0" borderId="0" xfId="0" applyNumberFormat="1" applyFill="1"/>
    <xf numFmtId="0" fontId="0" fillId="0" borderId="0" xfId="0" applyFill="1" applyAlignment="1">
      <alignment horizontal="left" indent="3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571741032370958E-2"/>
          <c:y val="0.17218759113444151"/>
          <c:w val="0.73983245844269463"/>
          <c:h val="0.50519284047827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Parálisis Cerebral</c:v>
                </c:pt>
              </c:strCache>
            </c:strRef>
          </c:cat>
          <c:val>
            <c:numRef>
              <c:f>(Anual!$B$40,Anual!$C$40,Anual!$E$40)</c:f>
              <c:numCache>
                <c:formatCode>_(* #,##0_);_(* \(#,##0\);_(* "-"??_);_(@_)</c:formatCode>
                <c:ptCount val="3"/>
                <c:pt idx="0">
                  <c:v>106.23331623722326</c:v>
                </c:pt>
                <c:pt idx="1">
                  <c:v>112.00985059090851</c:v>
                </c:pt>
                <c:pt idx="2">
                  <c:v>51.232394366197184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Parálisis Cerebral</c:v>
                </c:pt>
              </c:strCache>
            </c:strRef>
          </c:cat>
          <c:val>
            <c:numRef>
              <c:f>(Anual!$B$41,Anual!$C$41,Anual!$E$41)</c:f>
              <c:numCache>
                <c:formatCode>_(* #,##0_);_(* \(#,##0\);_(* "-"??_);_(@_)</c:formatCode>
                <c:ptCount val="3"/>
                <c:pt idx="0">
                  <c:v>76.208300605084219</c:v>
                </c:pt>
                <c:pt idx="1">
                  <c:v>80.55481506869603</c:v>
                </c:pt>
                <c:pt idx="2">
                  <c:v>43.316527955612464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801632"/>
        <c:axId val="201802528"/>
      </c:barChart>
      <c:catAx>
        <c:axId val="201801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1802528"/>
        <c:crosses val="autoZero"/>
        <c:auto val="1"/>
        <c:lblAlgn val="ctr"/>
        <c:lblOffset val="100"/>
        <c:noMultiLvlLbl val="0"/>
      </c:catAx>
      <c:valAx>
        <c:axId val="20180252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01801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21502624671916"/>
          <c:y val="0.81443095654709829"/>
          <c:w val="0.63569947506561675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Resultado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964129483814523"/>
          <c:y val="0.17218759113444151"/>
          <c:w val="0.55958267716535437"/>
          <c:h val="0.50812882764654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('I Trimestre'!$B$4:$B$5,'I Trimestre'!$C$5:$D$5,'I Trimestre'!$E$5,'I Trimestre'!$F$4:$F$5,'I Trimestre'!$G$4:$G$5)</c:f>
              <c:strCache>
                <c:ptCount val="6"/>
                <c:pt idx="0">
                  <c:v>Total Programa</c:v>
                </c:pt>
                <c:pt idx="1">
                  <c:v>Pensión Ordinaria</c:v>
                </c:pt>
                <c:pt idx="3">
                  <c:v>Parálisis Cerebral</c:v>
                </c:pt>
                <c:pt idx="4">
                  <c:v>Cuotas SS</c:v>
                </c:pt>
                <c:pt idx="5">
                  <c:v>Otros gastos</c:v>
                </c:pt>
              </c:strCache>
            </c:strRef>
          </c:cat>
          <c:val>
            <c:numRef>
              <c:f>Anual!$B$44:$G$44</c:f>
              <c:numCache>
                <c:formatCode>_(* #,##0_);_(* \(#,##0\);_(* "-"??_);_(@_)</c:formatCode>
                <c:ptCount val="6"/>
                <c:pt idx="0">
                  <c:v>100.09842627325322</c:v>
                </c:pt>
                <c:pt idx="1">
                  <c:v>100.66250746088232</c:v>
                </c:pt>
                <c:pt idx="3">
                  <c:v>84.549099239820904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('I Trimestre'!$B$4:$B$5,'I Trimestre'!$C$5:$D$5,'I Trimestre'!$E$5,'I Trimestre'!$F$4:$F$5,'I Trimestre'!$G$4:$G$5)</c:f>
              <c:strCache>
                <c:ptCount val="6"/>
                <c:pt idx="0">
                  <c:v>Total Programa</c:v>
                </c:pt>
                <c:pt idx="1">
                  <c:v>Pensión Ordinaria</c:v>
                </c:pt>
                <c:pt idx="3">
                  <c:v>Parálisis Cerebral</c:v>
                </c:pt>
                <c:pt idx="4">
                  <c:v>Cuotas SS</c:v>
                </c:pt>
                <c:pt idx="5">
                  <c:v>Otros gastos</c:v>
                </c:pt>
              </c:strCache>
            </c:strRef>
          </c:cat>
          <c:val>
            <c:numRef>
              <c:f>Anual!$B$45:$G$45</c:f>
              <c:numCache>
                <c:formatCode>_(* #,##0_);_(* \(#,##0\);_(* "-"??_);_(@_)</c:formatCode>
                <c:ptCount val="6"/>
                <c:pt idx="0">
                  <c:v>93.68256824286243</c:v>
                </c:pt>
                <c:pt idx="1">
                  <c:v>93.659842007679444</c:v>
                </c:pt>
                <c:pt idx="3">
                  <c:v>84.196625595133753</c:v>
                </c:pt>
                <c:pt idx="4">
                  <c:v>99.093978747522769</c:v>
                </c:pt>
                <c:pt idx="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('I Trimestre'!$B$4:$B$5,'I Trimestre'!$C$5:$D$5,'I Trimestre'!$E$5,'I Trimestre'!$F$4:$F$5,'I Trimestre'!$G$4:$G$5)</c:f>
              <c:strCache>
                <c:ptCount val="6"/>
                <c:pt idx="0">
                  <c:v>Total Programa</c:v>
                </c:pt>
                <c:pt idx="1">
                  <c:v>Pensión Ordinaria</c:v>
                </c:pt>
                <c:pt idx="3">
                  <c:v>Parálisis Cerebral</c:v>
                </c:pt>
                <c:pt idx="4">
                  <c:v>Cuotas SS</c:v>
                </c:pt>
                <c:pt idx="5">
                  <c:v>Otros gastos</c:v>
                </c:pt>
              </c:strCache>
            </c:strRef>
          </c:cat>
          <c:val>
            <c:numRef>
              <c:f>Anual!$B$46:$G$46</c:f>
              <c:numCache>
                <c:formatCode>_(* #,##0_);_(* \(#,##0\);_(* "-"??_);_(@_)</c:formatCode>
                <c:ptCount val="6"/>
                <c:pt idx="0">
                  <c:v>96.89049725805782</c:v>
                </c:pt>
                <c:pt idx="1">
                  <c:v>97.161174734280877</c:v>
                </c:pt>
                <c:pt idx="3">
                  <c:v>84.372862417477336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0944"/>
        <c:axId val="202213616"/>
      </c:barChart>
      <c:catAx>
        <c:axId val="20220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202213616"/>
        <c:crosses val="autoZero"/>
        <c:auto val="1"/>
        <c:lblAlgn val="ctr"/>
        <c:lblOffset val="100"/>
        <c:noMultiLvlLbl val="0"/>
      </c:catAx>
      <c:valAx>
        <c:axId val="2022136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02200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5145867557922167E-2"/>
          <c:y val="0.15843458864766505"/>
          <c:w val="0.58467871372193581"/>
          <c:h val="0.60705357517211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('I Trimestre'!$B$4:$B$5,'I Trimestre'!$C$5:$D$5,'I Trimestre'!$E$5,'I Trimestre'!$F$4:$F$5,'I Trimestre'!$G$4:$G$5)</c:f>
              <c:strCache>
                <c:ptCount val="6"/>
                <c:pt idx="0">
                  <c:v>Total Programa</c:v>
                </c:pt>
                <c:pt idx="1">
                  <c:v>Pensión Ordinaria</c:v>
                </c:pt>
                <c:pt idx="3">
                  <c:v>Parálisis Cerebral</c:v>
                </c:pt>
                <c:pt idx="4">
                  <c:v>Cuotas SS</c:v>
                </c:pt>
                <c:pt idx="5">
                  <c:v>Otros gastos</c:v>
                </c:pt>
              </c:strCache>
            </c:strRef>
          </c:cat>
          <c:val>
            <c:numRef>
              <c:f>Anual!$B$49:$G$49</c:f>
              <c:numCache>
                <c:formatCode>_(* #,##0_);_(* \(#,##0\);_(* "-"??_);_(@_)</c:formatCode>
                <c:ptCount val="6"/>
                <c:pt idx="0">
                  <c:v>100.09842627325322</c:v>
                </c:pt>
                <c:pt idx="1">
                  <c:v>100.66250746088232</c:v>
                </c:pt>
                <c:pt idx="3">
                  <c:v>84.549099239820904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('I Trimestre'!$B$4:$B$5,'I Trimestre'!$C$5:$D$5,'I Trimestre'!$E$5,'I Trimestre'!$F$4:$F$5,'I Trimestre'!$G$4:$G$5)</c:f>
              <c:strCache>
                <c:ptCount val="6"/>
                <c:pt idx="0">
                  <c:v>Total Programa</c:v>
                </c:pt>
                <c:pt idx="1">
                  <c:v>Pensión Ordinaria</c:v>
                </c:pt>
                <c:pt idx="3">
                  <c:v>Parálisis Cerebral</c:v>
                </c:pt>
                <c:pt idx="4">
                  <c:v>Cuotas SS</c:v>
                </c:pt>
                <c:pt idx="5">
                  <c:v>Otros gastos</c:v>
                </c:pt>
              </c:strCache>
            </c:strRef>
          </c:cat>
          <c:val>
            <c:numRef>
              <c:f>Anual!$B$50:$G$50</c:f>
              <c:numCache>
                <c:formatCode>_(* #,##0_);_(* \(#,##0\);_(* "-"??_);_(@_)</c:formatCode>
                <c:ptCount val="6"/>
                <c:pt idx="0">
                  <c:v>100.28734169518873</c:v>
                </c:pt>
                <c:pt idx="1">
                  <c:v>101.37486499544275</c:v>
                </c:pt>
                <c:pt idx="3">
                  <c:v>91.724261617994898</c:v>
                </c:pt>
                <c:pt idx="4">
                  <c:v>99.094102122413531</c:v>
                </c:pt>
                <c:pt idx="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('I Trimestre'!$B$4:$B$5,'I Trimestre'!$C$5:$D$5,'I Trimestre'!$E$5,'I Trimestre'!$F$4:$F$5,'I Trimestre'!$G$4:$G$5)</c:f>
              <c:strCache>
                <c:ptCount val="6"/>
                <c:pt idx="0">
                  <c:v>Total Programa</c:v>
                </c:pt>
                <c:pt idx="1">
                  <c:v>Pensión Ordinaria</c:v>
                </c:pt>
                <c:pt idx="3">
                  <c:v>Parálisis Cerebral</c:v>
                </c:pt>
                <c:pt idx="4">
                  <c:v>Cuotas SS</c:v>
                </c:pt>
                <c:pt idx="5">
                  <c:v>Otros gastos</c:v>
                </c:pt>
              </c:strCache>
            </c:strRef>
          </c:cat>
          <c:val>
            <c:numRef>
              <c:f>Anual!$B$51:$G$51</c:f>
              <c:numCache>
                <c:formatCode>_(* #,##0_);_(* \(#,##0\);_(* "-"??_);_(@_)</c:formatCode>
                <c:ptCount val="6"/>
                <c:pt idx="0">
                  <c:v>100.19288398422097</c:v>
                </c:pt>
                <c:pt idx="1">
                  <c:v>101.01868622816254</c:v>
                </c:pt>
                <c:pt idx="3">
                  <c:v>88.136680428907908</c:v>
                </c:pt>
                <c:pt idx="4">
                  <c:v>49.547051061206766</c:v>
                </c:pt>
                <c:pt idx="5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50816"/>
        <c:axId val="202251200"/>
      </c:barChart>
      <c:catAx>
        <c:axId val="202250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2251200"/>
        <c:crosses val="autoZero"/>
        <c:auto val="1"/>
        <c:lblAlgn val="ctr"/>
        <c:lblOffset val="100"/>
        <c:noMultiLvlLbl val="0"/>
      </c:catAx>
      <c:valAx>
        <c:axId val="20225120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02250816"/>
        <c:crosses val="autoZero"/>
        <c:crossBetween val="between"/>
        <c:majorUnit val="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Expansión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76447110072332E-2"/>
          <c:y val="0.15643541402750524"/>
          <c:w val="0.57253623476126136"/>
          <c:h val="0.6244162381910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('I Trimestre'!$B$4:$B$5,'I Trimestre'!$C$5:$D$5,'I Trimestre'!$E$5,'I Trimestre'!$F$4:$F$5,'I Trimestre'!$G$4:$G$5)</c:f>
              <c:strCache>
                <c:ptCount val="6"/>
                <c:pt idx="0">
                  <c:v>Total Programa</c:v>
                </c:pt>
                <c:pt idx="1">
                  <c:v>Pensión Ordinaria</c:v>
                </c:pt>
                <c:pt idx="3">
                  <c:v>Parálisis Cerebral</c:v>
                </c:pt>
                <c:pt idx="4">
                  <c:v>Cuotas SS</c:v>
                </c:pt>
                <c:pt idx="5">
                  <c:v>Otros gastos</c:v>
                </c:pt>
              </c:strCache>
            </c:strRef>
          </c:cat>
          <c:val>
            <c:numRef>
              <c:f>Anual!$B$57:$G$57</c:f>
              <c:numCache>
                <c:formatCode>_(* #,##0_);_(* \(#,##0\);_(* "-"??_);_(@_)</c:formatCode>
                <c:ptCount val="6"/>
                <c:pt idx="0">
                  <c:v>3.7385031253365009</c:v>
                </c:pt>
                <c:pt idx="1">
                  <c:v>3.6083596597813017</c:v>
                </c:pt>
                <c:pt idx="3">
                  <c:v>8.1989605543710162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('I Trimestre'!$B$4:$B$5,'I Trimestre'!$C$5:$D$5,'I Trimestre'!$E$5,'I Trimestre'!$F$4:$F$5,'I Trimestre'!$G$4:$G$5)</c:f>
              <c:strCache>
                <c:ptCount val="6"/>
                <c:pt idx="0">
                  <c:v>Total Programa</c:v>
                </c:pt>
                <c:pt idx="1">
                  <c:v>Pensión Ordinaria</c:v>
                </c:pt>
                <c:pt idx="3">
                  <c:v>Parálisis Cerebral</c:v>
                </c:pt>
                <c:pt idx="4">
                  <c:v>Cuotas SS</c:v>
                </c:pt>
                <c:pt idx="5">
                  <c:v>Otros gastos</c:v>
                </c:pt>
              </c:strCache>
            </c:strRef>
          </c:cat>
          <c:val>
            <c:numRef>
              <c:f>Anual!$B$58:$G$58</c:f>
              <c:numCache>
                <c:formatCode>_(* #,##0_);_(* \(#,##0\);_(* "-"??_);_(@_)</c:formatCode>
                <c:ptCount val="6"/>
                <c:pt idx="0">
                  <c:v>-5.7430899217419729</c:v>
                </c:pt>
                <c:pt idx="1">
                  <c:v>-6.8511483064157996</c:v>
                </c:pt>
                <c:pt idx="3">
                  <c:v>-6.2349639462248359</c:v>
                </c:pt>
                <c:pt idx="4">
                  <c:v>-0.19461724112802559</c:v>
                </c:pt>
                <c:pt idx="5">
                  <c:v>4.0661191426816234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('I Trimestre'!$B$4:$B$5,'I Trimestre'!$C$5:$D$5,'I Trimestre'!$E$5,'I Trimestre'!$F$4:$F$5,'I Trimestre'!$G$4:$G$5)</c:f>
              <c:strCache>
                <c:ptCount val="6"/>
                <c:pt idx="0">
                  <c:v>Total Programa</c:v>
                </c:pt>
                <c:pt idx="1">
                  <c:v>Pensión Ordinaria</c:v>
                </c:pt>
                <c:pt idx="3">
                  <c:v>Parálisis Cerebral</c:v>
                </c:pt>
                <c:pt idx="4">
                  <c:v>Cuotas SS</c:v>
                </c:pt>
                <c:pt idx="5">
                  <c:v>Otros gastos</c:v>
                </c:pt>
              </c:strCache>
            </c:strRef>
          </c:cat>
          <c:val>
            <c:numRef>
              <c:f>Anual!$B$59:$G$59</c:f>
              <c:numCache>
                <c:formatCode>_(* #,##0_);_(* \(#,##0\);_(* "-"??_);_(@_)</c:formatCode>
                <c:ptCount val="6"/>
                <c:pt idx="0">
                  <c:v>-9.139897686419129</c:v>
                </c:pt>
                <c:pt idx="1">
                  <c:v>-10.097919625602071</c:v>
                </c:pt>
                <c:pt idx="3">
                  <c:v>-13.34016928318148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14072"/>
        <c:axId val="202314456"/>
      </c:barChart>
      <c:catAx>
        <c:axId val="202314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2314456"/>
        <c:crosses val="autoZero"/>
        <c:auto val="1"/>
        <c:lblAlgn val="ctr"/>
        <c:lblOffset val="100"/>
        <c:noMultiLvlLbl val="0"/>
      </c:catAx>
      <c:valAx>
        <c:axId val="20231445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02314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Gasto Medio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789129483814523"/>
          <c:y val="0.17218759113444151"/>
          <c:w val="0.63673403324584432"/>
          <c:h val="0.46551290463692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('I Semestre'!$B$4:$B$5,'I Semestre'!$C$5:$D$5,'I Semestre'!$E$5,'I Semestre'!$F$4:$F$5,'I Semestre'!$G$4:$G$5)</c:f>
              <c:strCache>
                <c:ptCount val="6"/>
                <c:pt idx="0">
                  <c:v>Total Programa</c:v>
                </c:pt>
                <c:pt idx="1">
                  <c:v>Pensión Ordinaria</c:v>
                </c:pt>
                <c:pt idx="3">
                  <c:v>Parálisis Cerebral</c:v>
                </c:pt>
                <c:pt idx="4">
                  <c:v>Cuotas SS</c:v>
                </c:pt>
                <c:pt idx="5">
                  <c:v>Otros gastos</c:v>
                </c:pt>
              </c:strCache>
            </c:strRef>
          </c:cat>
          <c:val>
            <c:numRef>
              <c:f>Anual!$B$62:$E$62</c:f>
              <c:numCache>
                <c:formatCode>_(* #,##0_);_(* \(#,##0\);_(* "-"??_);_(@_)</c:formatCode>
                <c:ptCount val="4"/>
                <c:pt idx="0">
                  <c:v>94224.987355381731</c:v>
                </c:pt>
                <c:pt idx="1">
                  <c:v>75901.517997879608</c:v>
                </c:pt>
                <c:pt idx="3">
                  <c:v>219744.40952924066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('I Semestre'!$B$4:$B$5,'I Semestre'!$C$5:$D$5,'I Semestre'!$E$5,'I Semestre'!$F$4:$F$5,'I Semestre'!$G$4:$G$5)</c:f>
              <c:strCache>
                <c:ptCount val="6"/>
                <c:pt idx="0">
                  <c:v>Total Programa</c:v>
                </c:pt>
                <c:pt idx="1">
                  <c:v>Pensión Ordinaria</c:v>
                </c:pt>
                <c:pt idx="3">
                  <c:v>Parálisis Cerebral</c:v>
                </c:pt>
                <c:pt idx="4">
                  <c:v>Cuotas SS</c:v>
                </c:pt>
                <c:pt idx="5">
                  <c:v>Otros gastos</c:v>
                </c:pt>
              </c:strCache>
            </c:strRef>
          </c:cat>
          <c:val>
            <c:numRef>
              <c:f>Anual!$B$63:$E$63</c:f>
              <c:numCache>
                <c:formatCode>_(* #,##0_);_(* \(#,##0\);_(* "-"??_);_(@_)</c:formatCode>
                <c:ptCount val="4"/>
                <c:pt idx="0">
                  <c:v>88185.590290964217</c:v>
                </c:pt>
                <c:pt idx="1">
                  <c:v>98848.161343704211</c:v>
                </c:pt>
                <c:pt idx="3">
                  <c:v>218828.32510465442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668464"/>
        <c:axId val="202668856"/>
      </c:barChart>
      <c:catAx>
        <c:axId val="20266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2668856"/>
        <c:crosses val="autoZero"/>
        <c:auto val="1"/>
        <c:lblAlgn val="ctr"/>
        <c:lblOffset val="100"/>
        <c:noMultiLvlLbl val="0"/>
      </c:catAx>
      <c:valAx>
        <c:axId val="20266885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02668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375266083865499"/>
          <c:y val="0.76861025705120189"/>
          <c:w val="0.57249467832268996"/>
          <c:h val="0.14673365829271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Gasto Medio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898862642169729"/>
          <c:y val="0.17218759113444151"/>
          <c:w val="0.70298381452318459"/>
          <c:h val="0.451624015748031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invertIfNegative val="0"/>
          <c:cat>
            <c:strRef>
              <c:f>('IV Trimestre'!$B$4:$B$5,'IV Trimestre'!$C$5:$D$5,'IV Trimestre'!$E$5,'IV Trimestre'!$F$4:$F$5,'IV Trimestre'!$G$4:$G$5)</c:f>
              <c:strCache>
                <c:ptCount val="6"/>
                <c:pt idx="0">
                  <c:v>Total Programa</c:v>
                </c:pt>
                <c:pt idx="1">
                  <c:v>Pensión Ordinaria</c:v>
                </c:pt>
                <c:pt idx="3">
                  <c:v>Parálisis Cerebral</c:v>
                </c:pt>
                <c:pt idx="4">
                  <c:v>Cuotas SS</c:v>
                </c:pt>
                <c:pt idx="5">
                  <c:v>Otros gastos</c:v>
                </c:pt>
              </c:strCache>
            </c:strRef>
          </c:cat>
          <c:val>
            <c:numRef>
              <c:f>Anual!$B$65:$E$65</c:f>
              <c:numCache>
                <c:formatCode>_(* #,##0_);_(* \(#,##0\);_(* "-"??_);_(@_)</c:formatCode>
                <c:ptCount val="4"/>
                <c:pt idx="0">
                  <c:v>1130699.8482645808</c:v>
                </c:pt>
                <c:pt idx="1">
                  <c:v>910818.21597455535</c:v>
                </c:pt>
                <c:pt idx="3">
                  <c:v>2636932.9143508882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invertIfNegative val="0"/>
          <c:cat>
            <c:strRef>
              <c:f>('IV Trimestre'!$B$4:$B$5,'IV Trimestre'!$C$5:$D$5,'IV Trimestre'!$E$5,'IV Trimestre'!$F$4:$F$5,'IV Trimestre'!$G$4:$G$5)</c:f>
              <c:strCache>
                <c:ptCount val="6"/>
                <c:pt idx="0">
                  <c:v>Total Programa</c:v>
                </c:pt>
                <c:pt idx="1">
                  <c:v>Pensión Ordinaria</c:v>
                </c:pt>
                <c:pt idx="3">
                  <c:v>Parálisis Cerebral</c:v>
                </c:pt>
                <c:pt idx="4">
                  <c:v>Cuotas SS</c:v>
                </c:pt>
                <c:pt idx="5">
                  <c:v>Otros gastos</c:v>
                </c:pt>
              </c:strCache>
            </c:strRef>
          </c:cat>
          <c:val>
            <c:numRef>
              <c:f>Anual!$B$66:$E$66</c:f>
              <c:numCache>
                <c:formatCode>_(* #,##0_);_(* \(#,##0\);_(* "-"??_);_(@_)</c:formatCode>
                <c:ptCount val="4"/>
                <c:pt idx="0">
                  <c:v>1058227.0834915708</c:v>
                </c:pt>
                <c:pt idx="1">
                  <c:v>1186177.9361244503</c:v>
                </c:pt>
                <c:pt idx="3">
                  <c:v>2625939.901255853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669640"/>
        <c:axId val="202670032"/>
      </c:barChart>
      <c:catAx>
        <c:axId val="202669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2670032"/>
        <c:crosses val="autoZero"/>
        <c:auto val="1"/>
        <c:lblAlgn val="ctr"/>
        <c:lblOffset val="100"/>
        <c:noMultiLvlLbl val="0"/>
      </c:catAx>
      <c:valAx>
        <c:axId val="20267003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026696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845239799570509"/>
          <c:y val="0.74861173899003952"/>
          <c:w val="0.55497759749728248"/>
          <c:h val="0.1458078938870811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Índice de eficiencia (IE)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5025518799056612E-2"/>
          <c:y val="0.17218759113444151"/>
          <c:w val="0.71512170036046785"/>
          <c:h val="0.522017716535433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('I Trimestre'!$B$4:$B$5,'I Trimestre'!$C$5,'I Trimestre'!$E$5)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Parálisis Cerebral</c:v>
                </c:pt>
              </c:strCache>
            </c:strRef>
          </c:cat>
          <c:val>
            <c:numRef>
              <c:f>(Anual!$B$64:$C$64,Anual!$E$64)</c:f>
              <c:numCache>
                <c:formatCode>_(* #,##0_);_(* \(#,##0\);_(* "-"??_);_(@_)</c:formatCode>
                <c:ptCount val="3"/>
                <c:pt idx="0">
                  <c:v>103.52605055854103</c:v>
                </c:pt>
                <c:pt idx="1">
                  <c:v>74.606148991954413</c:v>
                </c:pt>
                <c:pt idx="2">
                  <c:v>84.726073845117909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670816"/>
        <c:axId val="202671208"/>
      </c:barChart>
      <c:catAx>
        <c:axId val="202670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671208"/>
        <c:crosses val="autoZero"/>
        <c:auto val="1"/>
        <c:lblAlgn val="ctr"/>
        <c:lblOffset val="100"/>
        <c:noMultiLvlLbl val="0"/>
      </c:catAx>
      <c:valAx>
        <c:axId val="20267120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02670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230689740492237"/>
          <c:y val="0.81906058617672794"/>
          <c:w val="0.31538620519015531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Giro de Recursos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5025518799056612E-2"/>
          <c:y val="0.17218759113444151"/>
          <c:w val="0.59549721102611775"/>
          <c:h val="0.56368438320209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'IV Trimestre'!$B$4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Anual!$B$69</c:f>
              <c:numCache>
                <c:formatCode>_(* #,##0_);_(* \(#,##0\);_(* "-"??_);_(@_)</c:formatCode>
                <c:ptCount val="1"/>
                <c:pt idx="0">
                  <c:v>94.092955842639753</c:v>
                </c:pt>
              </c:numCache>
            </c:numRef>
          </c:val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'IV Trimestre'!$B$4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Anual!$B$70</c:f>
              <c:numCache>
                <c:formatCode>_(* #,##0_);_(* \(#,##0\);_(* "-"??_);_(@_)</c:formatCode>
                <c:ptCount val="1"/>
                <c:pt idx="0">
                  <c:v>99.563848753499002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671992"/>
        <c:axId val="202672384"/>
      </c:barChart>
      <c:catAx>
        <c:axId val="202671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2672384"/>
        <c:crosses val="autoZero"/>
        <c:auto val="1"/>
        <c:lblAlgn val="ctr"/>
        <c:lblOffset val="100"/>
        <c:noMultiLvlLbl val="0"/>
      </c:catAx>
      <c:valAx>
        <c:axId val="20267238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026719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521620016476043"/>
          <c:y val="0.82299510668421971"/>
          <c:w val="0.76470141962181737"/>
          <c:h val="7.605852107603268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2</xdr:row>
      <xdr:rowOff>166687</xdr:rowOff>
    </xdr:from>
    <xdr:to>
      <xdr:col>13</xdr:col>
      <xdr:colOff>752475</xdr:colOff>
      <xdr:row>17</xdr:row>
      <xdr:rowOff>33337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14</xdr:col>
      <xdr:colOff>0</xdr:colOff>
      <xdr:row>33</xdr:row>
      <xdr:rowOff>76200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34</xdr:row>
      <xdr:rowOff>19049</xdr:rowOff>
    </xdr:from>
    <xdr:to>
      <xdr:col>14</xdr:col>
      <xdr:colOff>733425</xdr:colOff>
      <xdr:row>49</xdr:row>
      <xdr:rowOff>142874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9523</xdr:colOff>
      <xdr:row>50</xdr:row>
      <xdr:rowOff>180975</xdr:rowOff>
    </xdr:from>
    <xdr:to>
      <xdr:col>15</xdr:col>
      <xdr:colOff>266701</xdr:colOff>
      <xdr:row>66</xdr:row>
      <xdr:rowOff>152400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9525</xdr:colOff>
      <xdr:row>67</xdr:row>
      <xdr:rowOff>57149</xdr:rowOff>
    </xdr:from>
    <xdr:to>
      <xdr:col>14</xdr:col>
      <xdr:colOff>276225</xdr:colOff>
      <xdr:row>82</xdr:row>
      <xdr:rowOff>180974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19049</xdr:colOff>
      <xdr:row>83</xdr:row>
      <xdr:rowOff>190499</xdr:rowOff>
    </xdr:from>
    <xdr:to>
      <xdr:col>14</xdr:col>
      <xdr:colOff>161924</xdr:colOff>
      <xdr:row>99</xdr:row>
      <xdr:rowOff>161924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400050</xdr:colOff>
      <xdr:row>72</xdr:row>
      <xdr:rowOff>66675</xdr:rowOff>
    </xdr:from>
    <xdr:to>
      <xdr:col>6</xdr:col>
      <xdr:colOff>914400</xdr:colOff>
      <xdr:row>86</xdr:row>
      <xdr:rowOff>142875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400050</xdr:colOff>
      <xdr:row>87</xdr:row>
      <xdr:rowOff>180974</xdr:rowOff>
    </xdr:from>
    <xdr:to>
      <xdr:col>6</xdr:col>
      <xdr:colOff>981075</xdr:colOff>
      <xdr:row>103</xdr:row>
      <xdr:rowOff>152399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2" name="1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Régimen No Contributivo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: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gasto efectivo promedio para las Pensiones Ordinarias puede ser más bajo que el programado, debido a que se están reportando todos los beneficiarios (Fodesaf más otras fuentes) pero sólo el gasto Fodesaf. No se puede distinguir entre beneficiarios de acuerdo a la fuente de financiamiento.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último trimestre incluye el pago de aguinaldo.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son los mismos de un mes a otro en su mayoría; sin embargo, puede haber entradas y salidas de algunos beneficiarios.</a:t>
          </a:r>
          <a:r>
            <a:rPr lang="es-CR"/>
            <a:t> </a:t>
          </a:r>
          <a:endParaRPr lang="es-CR" sz="1100" baseline="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0.02292</cdr:x>
      <cdr:y>0.91146</cdr:y>
    </cdr:from>
    <cdr:to>
      <cdr:x>0.96875</cdr:x>
      <cdr:y>0.97396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4775" y="2500313"/>
          <a:ext cx="43243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CR" sz="900"/>
            <a:t>Fuente: IICE con base en información de la unidad ejecutora, DESAF e INEC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0.05417</cdr:x>
      <cdr:y>0.9375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7665" y="2571750"/>
          <a:ext cx="4324335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en información de la unidad ejecutora</a:t>
          </a:r>
          <a:r>
            <a:rPr lang="es-CR" sz="900" baseline="0"/>
            <a:t> y</a:t>
          </a:r>
          <a:r>
            <a:rPr lang="es-CR" sz="900"/>
            <a:t> DESAF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0.09412</cdr:x>
      <cdr:y>0.92119</cdr:y>
    </cdr:from>
    <cdr:to>
      <cdr:x>0.91067</cdr:x>
      <cdr:y>0.9787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8475" y="2746375"/>
          <a:ext cx="4324335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en información de la unidad ejecutora</a:t>
          </a:r>
          <a:r>
            <a:rPr lang="es-CR" sz="900" baseline="0"/>
            <a:t> y </a:t>
          </a:r>
          <a:r>
            <a:rPr lang="es-CR" sz="900"/>
            <a:t>DESAF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0.09597</cdr:x>
      <cdr:y>0.87171</cdr:y>
    </cdr:from>
    <cdr:to>
      <cdr:x>0.86939</cdr:x>
      <cdr:y>0.9285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6575" y="2632075"/>
          <a:ext cx="4324335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en información de la unidad ejecutora, DESAF e INEC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0.01944</cdr:x>
      <cdr:y>0.90046</cdr:y>
    </cdr:from>
    <cdr:to>
      <cdr:x>0.96527</cdr:x>
      <cdr:y>0.96296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8900" y="2470150"/>
          <a:ext cx="4324335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en información de la unidad ejecutora</a:t>
          </a:r>
          <a:r>
            <a:rPr lang="es-CR" sz="900" baseline="0"/>
            <a:t> y </a:t>
          </a:r>
          <a:r>
            <a:rPr lang="es-CR" sz="900"/>
            <a:t>DESAF 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0.01944</cdr:x>
      <cdr:y>0.90046</cdr:y>
    </cdr:from>
    <cdr:to>
      <cdr:x>0.96527</cdr:x>
      <cdr:y>0.96296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8900" y="2470150"/>
          <a:ext cx="4324335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en información de la unidad ejecutora</a:t>
          </a:r>
          <a:r>
            <a:rPr lang="es-CR" sz="900" baseline="0"/>
            <a:t> y </a:t>
          </a:r>
          <a:r>
            <a:rPr lang="es-CR" sz="900"/>
            <a:t>DESAF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0.0964</cdr:x>
      <cdr:y>0.90278</cdr:y>
    </cdr:from>
    <cdr:to>
      <cdr:x>0.81589</cdr:x>
      <cdr:y>0.96528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6776" y="2476500"/>
          <a:ext cx="37075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en información de la unidad ejecutora</a:t>
          </a:r>
          <a:r>
            <a:rPr lang="es-CR" sz="900" baseline="0"/>
            <a:t> y </a:t>
          </a:r>
          <a:r>
            <a:rPr lang="es-CR" sz="900"/>
            <a:t> DESAF 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0.12097</cdr:x>
      <cdr:y>0.90536</cdr:y>
    </cdr:from>
    <cdr:to>
      <cdr:x>0.84046</cdr:x>
      <cdr:y>0.99054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31427" y="2733676"/>
          <a:ext cx="3755522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en información de la unidad ejecutora</a:t>
          </a:r>
          <a:r>
            <a:rPr lang="es-CR" sz="900" baseline="0"/>
            <a:t> y </a:t>
          </a:r>
          <a:r>
            <a:rPr lang="es-CR" sz="900"/>
            <a:t> DESAF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topLeftCell="A91" workbookViewId="0">
      <selection activeCell="H16" sqref="H16"/>
    </sheetView>
  </sheetViews>
  <sheetFormatPr baseColWidth="10" defaultRowHeight="15" x14ac:dyDescent="0.25"/>
  <cols>
    <col min="1" max="1" width="55.140625" style="18" customWidth="1"/>
    <col min="2" max="2" width="16.140625" style="18" customWidth="1"/>
    <col min="3" max="4" width="17" style="18" customWidth="1"/>
    <col min="5" max="5" width="16.85546875" style="18" bestFit="1" customWidth="1"/>
    <col min="6" max="6" width="17.85546875" style="18" bestFit="1" customWidth="1"/>
    <col min="7" max="7" width="17.7109375" style="18" bestFit="1" customWidth="1"/>
    <col min="8" max="13" width="11.42578125" style="18"/>
    <col min="14" max="14" width="13.140625" style="18" bestFit="1" customWidth="1"/>
    <col min="15" max="16384" width="11.42578125" style="18"/>
  </cols>
  <sheetData>
    <row r="2" spans="1:7" ht="15.75" x14ac:dyDescent="0.25">
      <c r="A2" s="27" t="s">
        <v>0</v>
      </c>
      <c r="B2" s="27"/>
      <c r="C2" s="27"/>
      <c r="D2" s="27"/>
      <c r="E2" s="27"/>
      <c r="F2" s="27"/>
      <c r="G2" s="27"/>
    </row>
    <row r="4" spans="1:7" x14ac:dyDescent="0.25">
      <c r="A4" s="39" t="s">
        <v>1</v>
      </c>
      <c r="B4" s="39" t="s">
        <v>105</v>
      </c>
      <c r="C4" s="40" t="s">
        <v>2</v>
      </c>
      <c r="D4" s="40"/>
      <c r="E4" s="40"/>
      <c r="F4" s="39" t="s">
        <v>3</v>
      </c>
      <c r="G4" s="39" t="s">
        <v>4</v>
      </c>
    </row>
    <row r="5" spans="1:7" ht="15.75" thickBot="1" x14ac:dyDescent="0.3">
      <c r="A5" s="41"/>
      <c r="B5" s="41"/>
      <c r="C5" s="42" t="s">
        <v>106</v>
      </c>
      <c r="D5" s="42"/>
      <c r="E5" s="43" t="s">
        <v>107</v>
      </c>
      <c r="F5" s="41"/>
      <c r="G5" s="41"/>
    </row>
    <row r="6" spans="1:7" ht="15.75" thickTop="1" x14ac:dyDescent="0.25">
      <c r="A6" s="13"/>
      <c r="B6" s="13"/>
      <c r="C6" s="44" t="s">
        <v>126</v>
      </c>
      <c r="D6" s="44" t="s">
        <v>125</v>
      </c>
      <c r="E6" s="13"/>
      <c r="F6" s="13"/>
      <c r="G6" s="13"/>
    </row>
    <row r="7" spans="1:7" x14ac:dyDescent="0.25">
      <c r="A7" s="45" t="s">
        <v>5</v>
      </c>
      <c r="B7" s="13"/>
      <c r="C7" s="13"/>
      <c r="D7" s="13"/>
      <c r="E7" s="13"/>
      <c r="F7" s="13"/>
      <c r="G7" s="13"/>
    </row>
    <row r="8" spans="1:7" x14ac:dyDescent="0.25">
      <c r="A8" s="13"/>
      <c r="B8" s="13"/>
      <c r="C8" s="13"/>
      <c r="D8" s="13"/>
      <c r="E8" s="13"/>
      <c r="F8" s="13"/>
      <c r="G8" s="13"/>
    </row>
    <row r="9" spans="1:7" x14ac:dyDescent="0.25">
      <c r="A9" s="13" t="s">
        <v>114</v>
      </c>
      <c r="B9" s="13"/>
      <c r="C9" s="13"/>
      <c r="D9" s="13"/>
      <c r="E9" s="13"/>
      <c r="F9" s="13"/>
      <c r="G9" s="13"/>
    </row>
    <row r="10" spans="1:7" x14ac:dyDescent="0.25">
      <c r="A10" s="46" t="s">
        <v>6</v>
      </c>
      <c r="B10" s="13">
        <f>SUM(C10:G10)</f>
        <v>86508.333333333328</v>
      </c>
      <c r="C10" s="13">
        <v>84037.333333333328</v>
      </c>
      <c r="D10" s="13"/>
      <c r="E10" s="13">
        <v>2471</v>
      </c>
      <c r="F10" s="13"/>
      <c r="G10" s="13"/>
    </row>
    <row r="11" spans="1:7" x14ac:dyDescent="0.25">
      <c r="A11" s="46" t="s">
        <v>7</v>
      </c>
      <c r="B11" s="13">
        <f>SUM(C11:G11)</f>
        <v>91214</v>
      </c>
      <c r="C11" s="13">
        <v>88238</v>
      </c>
      <c r="D11" s="13"/>
      <c r="E11" s="13">
        <v>2976</v>
      </c>
      <c r="F11" s="13"/>
      <c r="G11" s="13"/>
    </row>
    <row r="12" spans="1:7" x14ac:dyDescent="0.25">
      <c r="A12" s="46" t="s">
        <v>8</v>
      </c>
      <c r="B12" s="13">
        <f>SUM(C12:G12)</f>
        <v>90657.333333333343</v>
      </c>
      <c r="C12" s="13">
        <v>62875</v>
      </c>
      <c r="D12" s="13">
        <v>25161.666666666668</v>
      </c>
      <c r="E12" s="13">
        <v>2620.6666666666665</v>
      </c>
      <c r="F12" s="13"/>
      <c r="G12" s="13"/>
    </row>
    <row r="13" spans="1:7" x14ac:dyDescent="0.25">
      <c r="A13" s="46" t="s">
        <v>9</v>
      </c>
      <c r="B13" s="13">
        <f>SUM(C13:G13)</f>
        <v>91439</v>
      </c>
      <c r="C13" s="13">
        <v>88238</v>
      </c>
      <c r="D13" s="13"/>
      <c r="E13" s="13">
        <v>3201</v>
      </c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47" t="s">
        <v>10</v>
      </c>
      <c r="B15" s="13"/>
      <c r="C15" s="13"/>
      <c r="D15" s="13"/>
      <c r="E15" s="13"/>
      <c r="F15" s="13"/>
      <c r="G15" s="13"/>
    </row>
    <row r="16" spans="1:7" x14ac:dyDescent="0.25">
      <c r="A16" s="46" t="s">
        <v>6</v>
      </c>
      <c r="B16" s="13">
        <f>SUM(C16:G16)</f>
        <v>22094155492.101254</v>
      </c>
      <c r="C16" s="13">
        <v>17372458062.400002</v>
      </c>
      <c r="D16" s="13"/>
      <c r="E16" s="13">
        <v>1642393886.6999998</v>
      </c>
      <c r="F16" s="13">
        <v>2614542143.0012503</v>
      </c>
      <c r="G16" s="13">
        <v>464761400</v>
      </c>
    </row>
    <row r="17" spans="1:7" x14ac:dyDescent="0.25">
      <c r="A17" s="46" t="s">
        <v>7</v>
      </c>
      <c r="B17" s="13">
        <f t="shared" ref="B17:B20" si="0">SUM(C17:G17)</f>
        <v>23958666016.279999</v>
      </c>
      <c r="C17" s="13">
        <v>18563100000</v>
      </c>
      <c r="D17" s="13"/>
      <c r="E17" s="13">
        <v>1773000000</v>
      </c>
      <c r="F17" s="13">
        <v>2796216016.2800002</v>
      </c>
      <c r="G17" s="13">
        <v>826350000</v>
      </c>
    </row>
    <row r="18" spans="1:7" x14ac:dyDescent="0.25">
      <c r="A18" s="46" t="s">
        <v>8</v>
      </c>
      <c r="B18" s="13">
        <f t="shared" si="0"/>
        <v>18745808584.700001</v>
      </c>
      <c r="C18" s="13">
        <v>10264882384.421524</v>
      </c>
      <c r="D18" s="13">
        <v>4107913589.8784761</v>
      </c>
      <c r="E18" s="13">
        <v>1556678861.7</v>
      </c>
      <c r="F18" s="13">
        <v>1989983748.7</v>
      </c>
      <c r="G18" s="13">
        <v>826350000</v>
      </c>
    </row>
    <row r="19" spans="1:7" x14ac:dyDescent="0.25">
      <c r="A19" s="46" t="s">
        <v>9</v>
      </c>
      <c r="B19" s="13">
        <f t="shared" si="0"/>
        <v>96580949387.699997</v>
      </c>
      <c r="C19" s="13">
        <v>74252400000</v>
      </c>
      <c r="D19" s="13"/>
      <c r="E19" s="13">
        <v>7748100000</v>
      </c>
      <c r="F19" s="13">
        <v>11275049387.700001</v>
      </c>
      <c r="G19" s="13">
        <v>3305400000</v>
      </c>
    </row>
    <row r="20" spans="1:7" x14ac:dyDescent="0.25">
      <c r="A20" s="46" t="s">
        <v>11</v>
      </c>
      <c r="B20" s="13">
        <f t="shared" si="0"/>
        <v>17919458584.700001</v>
      </c>
      <c r="C20" s="13">
        <f>C18</f>
        <v>10264882384.421524</v>
      </c>
      <c r="D20" s="13">
        <f>D18</f>
        <v>4107913589.8784761</v>
      </c>
      <c r="E20" s="13">
        <f>E18</f>
        <v>1556678861.7</v>
      </c>
      <c r="F20" s="13">
        <f>F18</f>
        <v>1989983748.7</v>
      </c>
      <c r="G20" s="13"/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47" t="s">
        <v>12</v>
      </c>
      <c r="B22" s="13"/>
      <c r="C22" s="13"/>
      <c r="D22" s="13"/>
      <c r="E22" s="13"/>
      <c r="F22" s="13"/>
      <c r="G22" s="13"/>
    </row>
    <row r="23" spans="1:7" x14ac:dyDescent="0.25">
      <c r="A23" s="46" t="s">
        <v>7</v>
      </c>
      <c r="B23" s="13">
        <v>23958682498.275002</v>
      </c>
      <c r="C23" s="13"/>
      <c r="D23" s="13"/>
      <c r="E23" s="13"/>
      <c r="F23" s="13"/>
      <c r="G23" s="13"/>
    </row>
    <row r="24" spans="1:7" x14ac:dyDescent="0.25">
      <c r="A24" s="46" t="s">
        <v>8</v>
      </c>
      <c r="B24" s="13">
        <f>7143272193.7+9110276533.9+8233609857.1</f>
        <v>24487158584.699997</v>
      </c>
      <c r="C24" s="13"/>
      <c r="D24" s="13"/>
      <c r="E24" s="13"/>
      <c r="F24" s="13"/>
      <c r="G24" s="13"/>
    </row>
    <row r="25" spans="1:7" x14ac:dyDescent="0.25">
      <c r="A25" s="13"/>
      <c r="B25" s="13"/>
      <c r="C25" s="13"/>
      <c r="D25" s="13"/>
      <c r="E25" s="13"/>
      <c r="F25" s="13"/>
      <c r="G25" s="13"/>
    </row>
    <row r="26" spans="1:7" x14ac:dyDescent="0.25">
      <c r="A26" s="13" t="s">
        <v>13</v>
      </c>
      <c r="B26" s="13"/>
      <c r="C26" s="13"/>
      <c r="D26" s="13"/>
      <c r="E26" s="13"/>
      <c r="F26" s="13"/>
      <c r="G26" s="13"/>
    </row>
    <row r="27" spans="1:7" x14ac:dyDescent="0.25">
      <c r="A27" s="46" t="s">
        <v>14</v>
      </c>
      <c r="B27" s="13">
        <v>1.3815129374949098</v>
      </c>
      <c r="C27" s="13">
        <v>1.3815129374949098</v>
      </c>
      <c r="D27" s="13">
        <v>1.3815129374949098</v>
      </c>
      <c r="E27" s="13">
        <v>1.3815129374949098</v>
      </c>
      <c r="F27" s="13">
        <v>1.3815129374949098</v>
      </c>
      <c r="G27" s="13">
        <v>1.3815129374949098</v>
      </c>
    </row>
    <row r="28" spans="1:7" x14ac:dyDescent="0.25">
      <c r="A28" s="46" t="s">
        <v>15</v>
      </c>
      <c r="B28" s="13">
        <v>1.4459435845989319</v>
      </c>
      <c r="C28" s="13">
        <v>1.4459435845989319</v>
      </c>
      <c r="D28" s="13">
        <v>1.4459435845989319</v>
      </c>
      <c r="E28" s="13">
        <v>1.4459435845989319</v>
      </c>
      <c r="F28" s="13">
        <v>1.4459435845989319</v>
      </c>
      <c r="G28" s="13">
        <v>1.4459435845989319</v>
      </c>
    </row>
    <row r="29" spans="1:7" x14ac:dyDescent="0.25">
      <c r="A29" s="46" t="s">
        <v>16</v>
      </c>
      <c r="B29" s="13">
        <f>+C29+E29</f>
        <v>85025</v>
      </c>
      <c r="C29" s="13">
        <v>78777</v>
      </c>
      <c r="D29" s="13" t="s">
        <v>127</v>
      </c>
      <c r="E29" s="13">
        <v>6248</v>
      </c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45" t="s">
        <v>17</v>
      </c>
      <c r="B31" s="13"/>
      <c r="C31" s="13"/>
      <c r="D31" s="13"/>
      <c r="E31" s="13"/>
      <c r="F31" s="13"/>
      <c r="G31" s="13"/>
    </row>
    <row r="32" spans="1:7" x14ac:dyDescent="0.25">
      <c r="A32" s="13" t="s">
        <v>18</v>
      </c>
      <c r="B32" s="13">
        <f>B16/B27</f>
        <v>15992724275.289431</v>
      </c>
      <c r="C32" s="13">
        <f t="shared" ref="C32:G32" si="1">C16/C27</f>
        <v>12574951410.80719</v>
      </c>
      <c r="D32" s="13"/>
      <c r="E32" s="13">
        <f t="shared" si="1"/>
        <v>1188837137.984494</v>
      </c>
      <c r="F32" s="13">
        <f t="shared" si="1"/>
        <v>1892520925.4588566</v>
      </c>
      <c r="G32" s="13">
        <f t="shared" si="1"/>
        <v>336414801.03888816</v>
      </c>
    </row>
    <row r="33" spans="1:7" x14ac:dyDescent="0.25">
      <c r="A33" s="13" t="s">
        <v>19</v>
      </c>
      <c r="B33" s="13">
        <f>B18/B28</f>
        <v>12964412155.747843</v>
      </c>
      <c r="C33" s="13">
        <f t="shared" ref="C33:G33" si="2">C18/C28</f>
        <v>7099089130.2780266</v>
      </c>
      <c r="D33" s="13">
        <f t="shared" si="2"/>
        <v>2840991608.2707386</v>
      </c>
      <c r="E33" s="13">
        <f t="shared" si="2"/>
        <v>1076583400.819046</v>
      </c>
      <c r="F33" s="13">
        <f t="shared" si="2"/>
        <v>1376252690.5584433</v>
      </c>
      <c r="G33" s="13">
        <f t="shared" si="2"/>
        <v>571495325.82158697</v>
      </c>
    </row>
    <row r="34" spans="1:7" x14ac:dyDescent="0.25">
      <c r="A34" s="13" t="s">
        <v>20</v>
      </c>
      <c r="B34" s="13">
        <f>B32/B10</f>
        <v>184869.17570896173</v>
      </c>
      <c r="C34" s="13">
        <f t="shared" ref="C34:E34" si="3">C32/C10</f>
        <v>149635.2979327504</v>
      </c>
      <c r="D34" s="13"/>
      <c r="E34" s="13">
        <f t="shared" si="3"/>
        <v>481115.79845588584</v>
      </c>
      <c r="F34" s="13"/>
      <c r="G34" s="13"/>
    </row>
    <row r="35" spans="1:7" x14ac:dyDescent="0.25">
      <c r="A35" s="13" t="s">
        <v>21</v>
      </c>
      <c r="B35" s="13">
        <f>B33/B12</f>
        <v>143004.56101085231</v>
      </c>
      <c r="C35" s="13">
        <f t="shared" ref="C35:E35" si="4">C33/C12</f>
        <v>112907.97821515748</v>
      </c>
      <c r="D35" s="13">
        <f t="shared" si="4"/>
        <v>112909.51612654455</v>
      </c>
      <c r="E35" s="13">
        <f t="shared" si="4"/>
        <v>410805.16439292015</v>
      </c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45" t="s">
        <v>22</v>
      </c>
      <c r="B37" s="13"/>
      <c r="C37" s="13"/>
      <c r="D37" s="13"/>
      <c r="E37" s="13"/>
      <c r="F37" s="13"/>
      <c r="G37" s="13"/>
    </row>
    <row r="38" spans="1:7" x14ac:dyDescent="0.25">
      <c r="A38" s="13"/>
      <c r="B38" s="13"/>
      <c r="C38" s="13"/>
      <c r="D38" s="13"/>
      <c r="E38" s="13"/>
      <c r="F38" s="13"/>
      <c r="G38" s="13"/>
    </row>
    <row r="39" spans="1:7" x14ac:dyDescent="0.25">
      <c r="A39" s="13" t="s">
        <v>23</v>
      </c>
      <c r="B39" s="13"/>
      <c r="C39" s="13"/>
      <c r="D39" s="13"/>
      <c r="E39" s="13"/>
      <c r="F39" s="13"/>
      <c r="G39" s="13"/>
    </row>
    <row r="40" spans="1:7" x14ac:dyDescent="0.25">
      <c r="A40" s="13" t="s">
        <v>24</v>
      </c>
      <c r="B40" s="13">
        <f>((C40*C17+E40*E17)/(C17+E17))</f>
        <v>106.39701071324164</v>
      </c>
      <c r="C40" s="13">
        <f>(C11)/C29*100</f>
        <v>112.00985059090851</v>
      </c>
      <c r="D40" s="13"/>
      <c r="E40" s="13">
        <f>(E11)/E29*100</f>
        <v>47.631241997439183</v>
      </c>
      <c r="F40" s="13"/>
      <c r="G40" s="13"/>
    </row>
    <row r="41" spans="1:7" x14ac:dyDescent="0.25">
      <c r="A41" s="13" t="s">
        <v>25</v>
      </c>
      <c r="B41" s="13">
        <f>((C41*C18+E41*E18)/(C18+E18))</f>
        <v>74.827157443670771</v>
      </c>
      <c r="C41" s="13">
        <f t="shared" ref="C41:E41" si="5">(C12)/C29*100</f>
        <v>79.81390507381596</v>
      </c>
      <c r="D41" s="13"/>
      <c r="E41" s="13">
        <f t="shared" si="5"/>
        <v>41.94408877507469</v>
      </c>
      <c r="F41" s="13"/>
      <c r="G41" s="13"/>
    </row>
    <row r="42" spans="1:7" x14ac:dyDescent="0.25">
      <c r="A42" s="13"/>
      <c r="B42" s="13"/>
      <c r="C42" s="13"/>
      <c r="D42" s="13"/>
      <c r="E42" s="13"/>
      <c r="F42" s="13"/>
      <c r="G42" s="13"/>
    </row>
    <row r="43" spans="1:7" x14ac:dyDescent="0.25">
      <c r="A43" s="13" t="s">
        <v>26</v>
      </c>
      <c r="B43" s="13"/>
      <c r="C43" s="13"/>
      <c r="D43" s="13"/>
      <c r="E43" s="13"/>
      <c r="F43" s="13"/>
      <c r="G43" s="13"/>
    </row>
    <row r="44" spans="1:7" x14ac:dyDescent="0.25">
      <c r="A44" s="13" t="s">
        <v>27</v>
      </c>
      <c r="B44" s="13">
        <f>B12/B11*100</f>
        <v>99.389713567361753</v>
      </c>
      <c r="C44" s="13">
        <f>(C12+D12)/C11*100</f>
        <v>99.771829219459491</v>
      </c>
      <c r="D44" s="13"/>
      <c r="E44" s="13">
        <f>E12/E11*100</f>
        <v>88.0600358422939</v>
      </c>
      <c r="F44" s="13"/>
      <c r="G44" s="13"/>
    </row>
    <row r="45" spans="1:7" x14ac:dyDescent="0.25">
      <c r="A45" s="13" t="s">
        <v>28</v>
      </c>
      <c r="B45" s="13">
        <f>B18/B17*100</f>
        <v>78.242288497874455</v>
      </c>
      <c r="C45" s="13">
        <f>(C18+D18)/C17*100</f>
        <v>77.426701220701275</v>
      </c>
      <c r="D45" s="13"/>
      <c r="E45" s="13">
        <f>E18/E17*100</f>
        <v>87.799146175972936</v>
      </c>
      <c r="F45" s="13">
        <f>F18/F17*100</f>
        <v>71.167024904871738</v>
      </c>
      <c r="G45" s="13">
        <f>G18/G17*100</f>
        <v>100</v>
      </c>
    </row>
    <row r="46" spans="1:7" x14ac:dyDescent="0.25">
      <c r="A46" s="13" t="s">
        <v>29</v>
      </c>
      <c r="B46" s="13">
        <f>AVERAGE(B44:B45)</f>
        <v>88.816001032618104</v>
      </c>
      <c r="C46" s="13">
        <f t="shared" ref="C46:G46" si="6">AVERAGE(C44:C45)</f>
        <v>88.599265220080383</v>
      </c>
      <c r="D46" s="13"/>
      <c r="E46" s="13">
        <f t="shared" si="6"/>
        <v>87.929591009133418</v>
      </c>
      <c r="F46" s="13">
        <f>AVERAGE(F44:F45)</f>
        <v>71.167024904871738</v>
      </c>
      <c r="G46" s="13">
        <f t="shared" si="6"/>
        <v>100</v>
      </c>
    </row>
    <row r="47" spans="1:7" x14ac:dyDescent="0.25">
      <c r="A47" s="13"/>
      <c r="B47" s="13"/>
      <c r="C47" s="13"/>
      <c r="D47" s="13"/>
      <c r="E47" s="13"/>
      <c r="F47" s="13"/>
      <c r="G47" s="13"/>
    </row>
    <row r="48" spans="1:7" x14ac:dyDescent="0.25">
      <c r="A48" s="13" t="s">
        <v>30</v>
      </c>
      <c r="B48" s="13"/>
      <c r="C48" s="13"/>
      <c r="D48" s="13"/>
      <c r="E48" s="13"/>
      <c r="F48" s="13"/>
      <c r="G48" s="13"/>
    </row>
    <row r="49" spans="1:7" x14ac:dyDescent="0.25">
      <c r="A49" s="13" t="s">
        <v>31</v>
      </c>
      <c r="B49" s="13">
        <f>B12/(B13*4)*100</f>
        <v>24.786287397427067</v>
      </c>
      <c r="C49" s="13">
        <f>(C12+D12)/(C13*4)*100</f>
        <v>24.942957304864873</v>
      </c>
      <c r="D49" s="13"/>
      <c r="E49" s="13">
        <f t="shared" ref="E49" si="7">E12/(E13*4)*100</f>
        <v>20.467562220139538</v>
      </c>
      <c r="F49" s="13"/>
      <c r="G49" s="13"/>
    </row>
    <row r="50" spans="1:7" x14ac:dyDescent="0.25">
      <c r="A50" s="13" t="s">
        <v>32</v>
      </c>
      <c r="B50" s="13">
        <f>B18/B19*100</f>
        <v>19.409426707382689</v>
      </c>
      <c r="C50" s="13">
        <f>(C18+D18)/C19*100</f>
        <v>19.356675305175319</v>
      </c>
      <c r="D50" s="13"/>
      <c r="E50" s="13">
        <f>E18/E19*100</f>
        <v>20.091104421729199</v>
      </c>
      <c r="F50" s="13">
        <f>F18/F19*100</f>
        <v>17.649445960484055</v>
      </c>
      <c r="G50" s="13">
        <f>G18/G19*100</f>
        <v>25</v>
      </c>
    </row>
    <row r="51" spans="1:7" x14ac:dyDescent="0.25">
      <c r="A51" s="13" t="s">
        <v>33</v>
      </c>
      <c r="B51" s="13">
        <f>(B49+B50)/2</f>
        <v>22.097857052404876</v>
      </c>
      <c r="C51" s="13">
        <f t="shared" ref="C51:E51" si="8">(C49+C50)/2</f>
        <v>22.149816305020096</v>
      </c>
      <c r="D51" s="13"/>
      <c r="E51" s="13">
        <f t="shared" si="8"/>
        <v>20.27933332093437</v>
      </c>
      <c r="F51" s="13">
        <f>AVERAGE(F49:F50)</f>
        <v>17.649445960484055</v>
      </c>
      <c r="G51" s="13">
        <f t="shared" ref="G51" si="9">AVERAGE(G49:G50)</f>
        <v>25</v>
      </c>
    </row>
    <row r="52" spans="1:7" x14ac:dyDescent="0.25">
      <c r="A52" s="13"/>
      <c r="B52" s="13"/>
      <c r="C52" s="13"/>
      <c r="D52" s="13"/>
      <c r="E52" s="13"/>
      <c r="F52" s="13"/>
      <c r="G52" s="13"/>
    </row>
    <row r="53" spans="1:7" x14ac:dyDescent="0.25">
      <c r="A53" s="13" t="s">
        <v>100</v>
      </c>
      <c r="B53" s="13"/>
      <c r="C53" s="13"/>
      <c r="D53" s="13"/>
      <c r="E53" s="13"/>
      <c r="F53" s="13"/>
      <c r="G53" s="13"/>
    </row>
    <row r="54" spans="1:7" x14ac:dyDescent="0.25">
      <c r="A54" s="13" t="s">
        <v>34</v>
      </c>
      <c r="B54" s="13">
        <f>(B20/B18)*100</f>
        <v>95.591814584757614</v>
      </c>
      <c r="C54" s="13">
        <f t="shared" ref="C54:F54" si="10">(C20/C18)*100</f>
        <v>100</v>
      </c>
      <c r="D54" s="13">
        <f t="shared" si="10"/>
        <v>100</v>
      </c>
      <c r="E54" s="13">
        <f t="shared" si="10"/>
        <v>100</v>
      </c>
      <c r="F54" s="13">
        <f t="shared" si="10"/>
        <v>100</v>
      </c>
      <c r="G54" s="13"/>
    </row>
    <row r="55" spans="1:7" x14ac:dyDescent="0.25">
      <c r="A55" s="13"/>
      <c r="B55" s="13"/>
      <c r="C55" s="13"/>
      <c r="D55" s="13"/>
      <c r="E55" s="13"/>
      <c r="F55" s="13"/>
      <c r="G55" s="13"/>
    </row>
    <row r="56" spans="1:7" x14ac:dyDescent="0.25">
      <c r="A56" s="13" t="s">
        <v>35</v>
      </c>
      <c r="B56" s="13"/>
      <c r="C56" s="13"/>
      <c r="D56" s="13"/>
      <c r="E56" s="13"/>
      <c r="F56" s="13"/>
      <c r="G56" s="13"/>
    </row>
    <row r="57" spans="1:7" x14ac:dyDescent="0.25">
      <c r="A57" s="13" t="s">
        <v>36</v>
      </c>
      <c r="B57" s="13">
        <f>((B12/B10)-1)*100</f>
        <v>4.7960697427993582</v>
      </c>
      <c r="C57" s="13">
        <f>(((C12+D12)/C10)-1)*100</f>
        <v>4.758996001777005</v>
      </c>
      <c r="D57" s="13"/>
      <c r="E57" s="13">
        <f>((E12/E10)-1)*100</f>
        <v>6.0569270200998115</v>
      </c>
      <c r="F57" s="13"/>
      <c r="G57" s="13"/>
    </row>
    <row r="58" spans="1:7" x14ac:dyDescent="0.25">
      <c r="A58" s="13" t="s">
        <v>37</v>
      </c>
      <c r="B58" s="13">
        <f>((B33/B32)-1)*100</f>
        <v>-18.935561367869468</v>
      </c>
      <c r="C58" s="13">
        <f>(((C33+D33)/C32)-1)*100</f>
        <v>-20.953326865294752</v>
      </c>
      <c r="D58" s="13"/>
      <c r="E58" s="13">
        <f t="shared" ref="E58:F58" si="11">((E33/E32)-1)*100</f>
        <v>-9.4423141386513532</v>
      </c>
      <c r="F58" s="13">
        <f t="shared" si="11"/>
        <v>-27.279393741722568</v>
      </c>
      <c r="G58" s="13">
        <f>((G33/G32)-1)*100</f>
        <v>69.878175412241887</v>
      </c>
    </row>
    <row r="59" spans="1:7" x14ac:dyDescent="0.25">
      <c r="A59" s="13" t="s">
        <v>38</v>
      </c>
      <c r="B59" s="13">
        <f>((B35/B34)-1)*100</f>
        <v>-22.645535437457998</v>
      </c>
      <c r="C59" s="13">
        <f>(((C35+D35)/(C34*2))-1)*100</f>
        <v>-24.544042260941101</v>
      </c>
      <c r="D59" s="13"/>
      <c r="E59" s="13">
        <f t="shared" ref="E59" si="12">((E35/E34)-1)*100</f>
        <v>-14.614077169908724</v>
      </c>
      <c r="F59" s="13"/>
      <c r="G59" s="13"/>
    </row>
    <row r="60" spans="1:7" x14ac:dyDescent="0.25">
      <c r="A60" s="13"/>
      <c r="B60" s="13"/>
      <c r="C60" s="13"/>
      <c r="D60" s="13"/>
      <c r="E60" s="13"/>
      <c r="F60" s="13"/>
      <c r="G60" s="13"/>
    </row>
    <row r="61" spans="1:7" x14ac:dyDescent="0.25">
      <c r="A61" s="13" t="s">
        <v>39</v>
      </c>
      <c r="B61" s="13"/>
      <c r="C61" s="13"/>
      <c r="D61" s="13"/>
      <c r="E61" s="13"/>
      <c r="F61" s="13"/>
      <c r="G61" s="13"/>
    </row>
    <row r="62" spans="1:7" x14ac:dyDescent="0.25">
      <c r="A62" s="13" t="s">
        <v>101</v>
      </c>
      <c r="B62" s="13">
        <f>B17/(B11*3)</f>
        <v>87554.783316449961</v>
      </c>
      <c r="C62" s="13">
        <f t="shared" ref="C62:E62" si="13">C17/(C11*3)</f>
        <v>70125.116163104336</v>
      </c>
      <c r="D62" s="13"/>
      <c r="E62" s="13">
        <f t="shared" si="13"/>
        <v>198588.70967741936</v>
      </c>
      <c r="F62" s="13"/>
      <c r="G62" s="13"/>
    </row>
    <row r="63" spans="1:7" x14ac:dyDescent="0.25">
      <c r="A63" s="13" t="s">
        <v>102</v>
      </c>
      <c r="B63" s="13">
        <f>B18/(B12*3)</f>
        <v>68925.509187342817</v>
      </c>
      <c r="C63" s="13">
        <f>C18/((C12+D12)*3)</f>
        <v>38865.936103977598</v>
      </c>
      <c r="D63" s="13"/>
      <c r="E63" s="13">
        <f t="shared" ref="E63" si="14">E18/(E12*3)</f>
        <v>198000.36399135081</v>
      </c>
      <c r="F63" s="13"/>
      <c r="G63" s="13"/>
    </row>
    <row r="64" spans="1:7" x14ac:dyDescent="0.25">
      <c r="A64" s="13" t="s">
        <v>40</v>
      </c>
      <c r="B64" s="13">
        <f>(B62/B63)*B46</f>
        <v>112.8213025500938</v>
      </c>
      <c r="C64" s="13">
        <f t="shared" ref="C64:E64" si="15">(C62/C63)*C46</f>
        <v>159.85807594861907</v>
      </c>
      <c r="D64" s="13"/>
      <c r="E64" s="13">
        <f t="shared" si="15"/>
        <v>88.190868284109811</v>
      </c>
      <c r="F64" s="13"/>
      <c r="G64" s="13"/>
    </row>
    <row r="65" spans="1:7" x14ac:dyDescent="0.25">
      <c r="A65" s="13" t="s">
        <v>103</v>
      </c>
      <c r="B65" s="13">
        <f>B17/B11</f>
        <v>262664.34994934988</v>
      </c>
      <c r="C65" s="13">
        <f t="shared" ref="C65:E65" si="16">C17/C11</f>
        <v>210375.34848931301</v>
      </c>
      <c r="D65" s="13"/>
      <c r="E65" s="13">
        <f t="shared" si="16"/>
        <v>595766.12903225806</v>
      </c>
      <c r="F65" s="13"/>
      <c r="G65" s="13"/>
    </row>
    <row r="66" spans="1:7" x14ac:dyDescent="0.25">
      <c r="A66" s="13" t="s">
        <v>104</v>
      </c>
      <c r="B66" s="13">
        <f>B18/B12</f>
        <v>206776.52756202844</v>
      </c>
      <c r="C66" s="13">
        <f>C18/(C12+D12)</f>
        <v>116597.80831193279</v>
      </c>
      <c r="D66" s="13"/>
      <c r="E66" s="13">
        <f t="shared" ref="E66" si="17">E18/E12</f>
        <v>594001.09197405248</v>
      </c>
      <c r="F66" s="13"/>
      <c r="G66" s="13"/>
    </row>
    <row r="67" spans="1:7" x14ac:dyDescent="0.25">
      <c r="A67" s="13"/>
      <c r="B67" s="13"/>
      <c r="C67" s="13"/>
      <c r="D67" s="13"/>
      <c r="E67" s="13"/>
      <c r="F67" s="13"/>
      <c r="G67" s="13"/>
    </row>
    <row r="68" spans="1:7" x14ac:dyDescent="0.25">
      <c r="A68" s="13" t="s">
        <v>41</v>
      </c>
      <c r="B68" s="13"/>
      <c r="C68" s="13"/>
      <c r="D68" s="13"/>
      <c r="E68" s="13"/>
      <c r="F68" s="13"/>
      <c r="G68" s="13"/>
    </row>
    <row r="69" spans="1:7" x14ac:dyDescent="0.25">
      <c r="A69" s="13" t="s">
        <v>42</v>
      </c>
      <c r="B69" s="13">
        <f>(B24/B23)*100</f>
        <v>102.20578108359275</v>
      </c>
      <c r="C69" s="13"/>
      <c r="D69" s="13"/>
      <c r="E69" s="13"/>
      <c r="F69" s="13"/>
      <c r="G69" s="13"/>
    </row>
    <row r="70" spans="1:7" x14ac:dyDescent="0.25">
      <c r="A70" s="13" t="s">
        <v>43</v>
      </c>
      <c r="B70" s="13">
        <f>(B18/B24)*100</f>
        <v>76.553629200623988</v>
      </c>
      <c r="C70" s="13"/>
      <c r="D70" s="13"/>
      <c r="E70" s="13"/>
      <c r="F70" s="13"/>
      <c r="G70" s="13"/>
    </row>
    <row r="71" spans="1:7" ht="15.75" thickBot="1" x14ac:dyDescent="0.3">
      <c r="A71" s="48"/>
      <c r="B71" s="48"/>
      <c r="C71" s="48"/>
      <c r="D71" s="48"/>
      <c r="E71" s="48"/>
      <c r="F71" s="48"/>
      <c r="G71" s="48"/>
    </row>
    <row r="72" spans="1:7" ht="15.75" thickTop="1" x14ac:dyDescent="0.25">
      <c r="A72" s="13"/>
      <c r="B72" s="13"/>
      <c r="C72" s="13"/>
      <c r="D72" s="13"/>
      <c r="E72" s="13"/>
      <c r="F72" s="13"/>
      <c r="G72" s="13"/>
    </row>
    <row r="73" spans="1:7" x14ac:dyDescent="0.25">
      <c r="A73" s="13" t="s">
        <v>55</v>
      </c>
      <c r="B73" s="13"/>
      <c r="C73" s="13"/>
      <c r="D73" s="13"/>
      <c r="E73" s="13"/>
      <c r="F73" s="13"/>
      <c r="G73" s="13"/>
    </row>
    <row r="74" spans="1:7" x14ac:dyDescent="0.25">
      <c r="A74" s="13" t="s">
        <v>116</v>
      </c>
      <c r="B74" s="13"/>
      <c r="C74" s="13"/>
      <c r="D74" s="13"/>
      <c r="E74" s="13"/>
      <c r="F74" s="13"/>
      <c r="G74" s="13"/>
    </row>
    <row r="75" spans="1:7" x14ac:dyDescent="0.25">
      <c r="A75" s="13" t="s">
        <v>117</v>
      </c>
      <c r="B75" s="13"/>
      <c r="C75" s="13"/>
      <c r="D75" s="13"/>
      <c r="E75" s="13"/>
      <c r="F75" s="13"/>
      <c r="G75" s="13"/>
    </row>
    <row r="76" spans="1:7" x14ac:dyDescent="0.25">
      <c r="A76" s="18" t="s">
        <v>118</v>
      </c>
    </row>
    <row r="78" spans="1:7" x14ac:dyDescent="0.25">
      <c r="A78" s="18" t="s">
        <v>119</v>
      </c>
    </row>
    <row r="79" spans="1:7" x14ac:dyDescent="0.25">
      <c r="A79" s="18" t="s">
        <v>121</v>
      </c>
    </row>
    <row r="80" spans="1:7" x14ac:dyDescent="0.25">
      <c r="A80" s="18" t="s">
        <v>120</v>
      </c>
    </row>
    <row r="81" spans="1:1" x14ac:dyDescent="0.25">
      <c r="A81" s="18" t="s">
        <v>122</v>
      </c>
    </row>
    <row r="82" spans="1:1" x14ac:dyDescent="0.25">
      <c r="A82" s="23" t="s">
        <v>123</v>
      </c>
    </row>
    <row r="83" spans="1:1" x14ac:dyDescent="0.25">
      <c r="A83" s="23" t="s">
        <v>124</v>
      </c>
    </row>
  </sheetData>
  <mergeCells count="7">
    <mergeCell ref="A4:A5"/>
    <mergeCell ref="A2:G2"/>
    <mergeCell ref="B4:B5"/>
    <mergeCell ref="C4:E4"/>
    <mergeCell ref="F4:F5"/>
    <mergeCell ref="G4:G5"/>
    <mergeCell ref="C5:D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M83"/>
  <sheetViews>
    <sheetView topLeftCell="A61" workbookViewId="0">
      <selection activeCell="J87" sqref="J87"/>
    </sheetView>
  </sheetViews>
  <sheetFormatPr baseColWidth="10" defaultRowHeight="15" x14ac:dyDescent="0.25"/>
  <cols>
    <col min="1" max="1" width="55.140625" style="1" customWidth="1"/>
    <col min="2" max="2" width="16.140625" style="1" customWidth="1"/>
    <col min="3" max="3" width="17" style="1" bestFit="1" customWidth="1"/>
    <col min="4" max="4" width="17" style="1" customWidth="1"/>
    <col min="5" max="5" width="16.42578125" style="1" bestFit="1" customWidth="1"/>
    <col min="6" max="6" width="14.7109375" style="1" bestFit="1" customWidth="1"/>
    <col min="7" max="7" width="17.5703125" style="1" bestFit="1" customWidth="1"/>
    <col min="8" max="8" width="11.42578125" style="1"/>
    <col min="9" max="11" width="13.5703125" style="1" bestFit="1" customWidth="1"/>
    <col min="12" max="13" width="11.5703125" style="1" bestFit="1" customWidth="1"/>
    <col min="14" max="16384" width="11.42578125" style="1"/>
  </cols>
  <sheetData>
    <row r="2" spans="1:7" ht="15.75" x14ac:dyDescent="0.25">
      <c r="A2" s="49" t="s">
        <v>44</v>
      </c>
      <c r="B2" s="49"/>
      <c r="C2" s="49"/>
      <c r="D2" s="49"/>
      <c r="E2" s="49"/>
      <c r="F2" s="49"/>
      <c r="G2" s="49"/>
    </row>
    <row r="3" spans="1:7" x14ac:dyDescent="0.25">
      <c r="A3" s="14"/>
      <c r="B3" s="14"/>
      <c r="C3" s="14"/>
      <c r="D3" s="14"/>
      <c r="E3" s="14"/>
      <c r="F3" s="14"/>
      <c r="G3" s="14"/>
    </row>
    <row r="4" spans="1:7" x14ac:dyDescent="0.25">
      <c r="A4" s="50" t="s">
        <v>1</v>
      </c>
      <c r="B4" s="50" t="s">
        <v>105</v>
      </c>
      <c r="C4" s="51" t="s">
        <v>2</v>
      </c>
      <c r="D4" s="51"/>
      <c r="E4" s="51"/>
      <c r="F4" s="50" t="s">
        <v>3</v>
      </c>
      <c r="G4" s="50" t="s">
        <v>4</v>
      </c>
    </row>
    <row r="5" spans="1:7" ht="15.75" thickBot="1" x14ac:dyDescent="0.3">
      <c r="A5" s="52"/>
      <c r="B5" s="52"/>
      <c r="C5" s="53" t="s">
        <v>106</v>
      </c>
      <c r="D5" s="53"/>
      <c r="E5" s="54" t="s">
        <v>107</v>
      </c>
      <c r="F5" s="52"/>
      <c r="G5" s="52"/>
    </row>
    <row r="6" spans="1:7" ht="15.75" thickTop="1" x14ac:dyDescent="0.25">
      <c r="A6" s="14"/>
      <c r="B6" s="14"/>
      <c r="C6" s="55" t="s">
        <v>126</v>
      </c>
      <c r="D6" s="55" t="s">
        <v>125</v>
      </c>
      <c r="E6" s="14"/>
      <c r="F6" s="14"/>
      <c r="G6" s="14"/>
    </row>
    <row r="7" spans="1:7" x14ac:dyDescent="0.25">
      <c r="A7" s="37" t="s">
        <v>5</v>
      </c>
      <c r="B7" s="14"/>
      <c r="C7" s="14"/>
      <c r="D7" s="14"/>
      <c r="E7" s="14"/>
      <c r="F7" s="14"/>
      <c r="G7" s="14"/>
    </row>
    <row r="8" spans="1:7" x14ac:dyDescent="0.25">
      <c r="A8" s="14"/>
      <c r="B8" s="14"/>
      <c r="C8" s="14"/>
      <c r="D8" s="14"/>
      <c r="E8" s="14"/>
      <c r="F8" s="14"/>
      <c r="G8" s="14"/>
    </row>
    <row r="9" spans="1:7" x14ac:dyDescent="0.25">
      <c r="A9" s="14" t="s">
        <v>114</v>
      </c>
      <c r="B9" s="14"/>
      <c r="C9" s="14"/>
      <c r="D9" s="14"/>
      <c r="E9" s="14"/>
      <c r="F9" s="14"/>
      <c r="G9" s="14"/>
    </row>
    <row r="10" spans="1:7" x14ac:dyDescent="0.25">
      <c r="A10" s="35" t="s">
        <v>45</v>
      </c>
      <c r="B10" s="12">
        <f>SUM(C10:G10)</f>
        <v>87679</v>
      </c>
      <c r="C10" s="12">
        <v>85200.333333333328</v>
      </c>
      <c r="D10" s="12"/>
      <c r="E10" s="12">
        <v>2478.6666666666665</v>
      </c>
      <c r="F10" s="12"/>
      <c r="G10" s="14"/>
    </row>
    <row r="11" spans="1:7" x14ac:dyDescent="0.25">
      <c r="A11" s="35" t="s">
        <v>46</v>
      </c>
      <c r="B11" s="12">
        <f>SUM(C11:G11)</f>
        <v>91364</v>
      </c>
      <c r="C11" s="12">
        <v>88238</v>
      </c>
      <c r="D11" s="12"/>
      <c r="E11" s="12">
        <v>3126</v>
      </c>
      <c r="F11" s="12"/>
      <c r="G11" s="14"/>
    </row>
    <row r="12" spans="1:7" x14ac:dyDescent="0.25">
      <c r="A12" s="35" t="s">
        <v>47</v>
      </c>
      <c r="B12" s="12">
        <f>SUM(C12:G12)</f>
        <v>91092.666666666657</v>
      </c>
      <c r="C12" s="12">
        <v>63161</v>
      </c>
      <c r="D12" s="12">
        <v>25261.333333333332</v>
      </c>
      <c r="E12" s="12">
        <v>2670.3333333333335</v>
      </c>
      <c r="F12" s="12"/>
      <c r="G12" s="14"/>
    </row>
    <row r="13" spans="1:7" x14ac:dyDescent="0.25">
      <c r="A13" s="35" t="s">
        <v>9</v>
      </c>
      <c r="B13" s="12">
        <f>SUM(C13:G13)</f>
        <v>91439</v>
      </c>
      <c r="C13" s="12">
        <v>88238</v>
      </c>
      <c r="D13" s="12"/>
      <c r="E13" s="12">
        <v>3201</v>
      </c>
      <c r="F13" s="12"/>
      <c r="G13" s="14"/>
    </row>
    <row r="14" spans="1:7" x14ac:dyDescent="0.25">
      <c r="A14" s="14"/>
      <c r="B14" s="14"/>
      <c r="C14" s="14"/>
      <c r="D14" s="14"/>
      <c r="E14" s="14"/>
      <c r="F14" s="14"/>
      <c r="G14" s="14"/>
    </row>
    <row r="15" spans="1:7" x14ac:dyDescent="0.25">
      <c r="A15" s="34" t="s">
        <v>10</v>
      </c>
      <c r="B15" s="14"/>
      <c r="C15" s="14"/>
      <c r="D15" s="14"/>
      <c r="E15" s="14"/>
      <c r="F15" s="14"/>
      <c r="G15" s="14"/>
    </row>
    <row r="16" spans="1:7" x14ac:dyDescent="0.25">
      <c r="A16" s="35" t="s">
        <v>45</v>
      </c>
      <c r="B16" s="12">
        <f>SUM(C16:G16)</f>
        <v>22398846621.363747</v>
      </c>
      <c r="C16" s="12">
        <v>17612877027.699997</v>
      </c>
      <c r="D16" s="12"/>
      <c r="E16" s="12">
        <v>1647489672.3999999</v>
      </c>
      <c r="F16" s="12">
        <v>2648300421.2637501</v>
      </c>
      <c r="G16" s="12">
        <v>490179500</v>
      </c>
    </row>
    <row r="17" spans="1:7" x14ac:dyDescent="0.25">
      <c r="A17" s="35" t="s">
        <v>46</v>
      </c>
      <c r="B17" s="12">
        <f>SUM(C17:G17)</f>
        <v>24060354020.029999</v>
      </c>
      <c r="C17" s="12">
        <v>18563100000</v>
      </c>
      <c r="D17" s="12"/>
      <c r="E17" s="12">
        <v>1862400000</v>
      </c>
      <c r="F17" s="12">
        <v>2808504020.0300002</v>
      </c>
      <c r="G17" s="11">
        <v>826350000</v>
      </c>
    </row>
    <row r="18" spans="1:7" x14ac:dyDescent="0.25">
      <c r="A18" s="35" t="s">
        <v>47</v>
      </c>
      <c r="B18" s="12">
        <f>SUM(C18:G18)</f>
        <v>23171634224.499996</v>
      </c>
      <c r="C18" s="12">
        <v>12838431369.012188</v>
      </c>
      <c r="D18" s="12">
        <v>5134813493.5878115</v>
      </c>
      <c r="E18" s="12">
        <v>1600118783.0999999</v>
      </c>
      <c r="F18" s="12">
        <v>2771920578.8000002</v>
      </c>
      <c r="G18" s="11">
        <v>826350000</v>
      </c>
    </row>
    <row r="19" spans="1:7" x14ac:dyDescent="0.25">
      <c r="A19" s="35" t="s">
        <v>9</v>
      </c>
      <c r="B19" s="12">
        <f>SUM(C19:G19)</f>
        <v>96580949387.699997</v>
      </c>
      <c r="C19" s="12">
        <v>74252400000</v>
      </c>
      <c r="D19" s="12"/>
      <c r="E19" s="12">
        <v>7748100000</v>
      </c>
      <c r="F19" s="12">
        <v>11275049387.700001</v>
      </c>
      <c r="G19" s="11">
        <v>3305400000</v>
      </c>
    </row>
    <row r="20" spans="1:7" x14ac:dyDescent="0.25">
      <c r="A20" s="35" t="s">
        <v>48</v>
      </c>
      <c r="B20" s="12">
        <f>SUM(C20:F20)</f>
        <v>22345284224.499996</v>
      </c>
      <c r="C20" s="12">
        <f>C18</f>
        <v>12838431369.012188</v>
      </c>
      <c r="D20" s="12">
        <f>D18</f>
        <v>5134813493.5878115</v>
      </c>
      <c r="E20" s="12">
        <f>E18</f>
        <v>1600118783.0999999</v>
      </c>
      <c r="F20" s="12">
        <f>F18</f>
        <v>2771920578.8000002</v>
      </c>
      <c r="G20" s="11"/>
    </row>
    <row r="21" spans="1:7" x14ac:dyDescent="0.25">
      <c r="A21" s="14"/>
      <c r="B21" s="12"/>
      <c r="C21" s="12"/>
      <c r="D21" s="12"/>
      <c r="E21" s="12"/>
      <c r="F21" s="12"/>
      <c r="G21" s="14"/>
    </row>
    <row r="22" spans="1:7" x14ac:dyDescent="0.25">
      <c r="A22" s="34" t="s">
        <v>12</v>
      </c>
      <c r="B22" s="12"/>
      <c r="C22" s="12"/>
      <c r="D22" s="12"/>
      <c r="E22" s="12"/>
      <c r="F22" s="12"/>
      <c r="G22" s="12"/>
    </row>
    <row r="23" spans="1:7" x14ac:dyDescent="0.25">
      <c r="A23" s="35" t="s">
        <v>46</v>
      </c>
      <c r="B23" s="12">
        <f>B17</f>
        <v>24060354020.029999</v>
      </c>
      <c r="C23" s="12"/>
      <c r="D23" s="12"/>
      <c r="E23" s="12"/>
      <c r="F23" s="12"/>
      <c r="G23" s="12"/>
    </row>
    <row r="24" spans="1:7" x14ac:dyDescent="0.25">
      <c r="A24" s="35" t="s">
        <v>47</v>
      </c>
      <c r="B24" s="12">
        <f>8353323649.9+8984694719.4+8259465855</f>
        <v>25597484224.299999</v>
      </c>
      <c r="C24" s="12"/>
      <c r="D24" s="12"/>
      <c r="E24" s="12"/>
      <c r="F24" s="12"/>
      <c r="G24" s="12"/>
    </row>
    <row r="25" spans="1:7" x14ac:dyDescent="0.25">
      <c r="A25" s="14"/>
      <c r="B25" s="14"/>
      <c r="C25" s="14"/>
      <c r="D25" s="14"/>
      <c r="E25" s="14"/>
      <c r="F25" s="14"/>
      <c r="G25" s="14"/>
    </row>
    <row r="26" spans="1:7" x14ac:dyDescent="0.25">
      <c r="A26" s="14" t="s">
        <v>13</v>
      </c>
      <c r="B26" s="14"/>
      <c r="C26" s="14"/>
      <c r="D26" s="14"/>
      <c r="E26" s="14"/>
      <c r="F26" s="14"/>
      <c r="G26" s="14"/>
    </row>
    <row r="27" spans="1:7" x14ac:dyDescent="0.25">
      <c r="A27" s="35" t="s">
        <v>49</v>
      </c>
      <c r="B27" s="36">
        <v>1.39</v>
      </c>
      <c r="C27" s="36">
        <v>1.39</v>
      </c>
      <c r="D27" s="36">
        <v>1.39</v>
      </c>
      <c r="E27" s="36">
        <v>1.39</v>
      </c>
      <c r="F27" s="36">
        <v>1.39</v>
      </c>
      <c r="G27" s="36">
        <v>1.39</v>
      </c>
    </row>
    <row r="28" spans="1:7" x14ac:dyDescent="0.25">
      <c r="A28" s="35" t="s">
        <v>50</v>
      </c>
      <c r="B28" s="36">
        <v>1.46</v>
      </c>
      <c r="C28" s="36">
        <v>1.46</v>
      </c>
      <c r="D28" s="36">
        <v>1.46</v>
      </c>
      <c r="E28" s="36">
        <v>1.46</v>
      </c>
      <c r="F28" s="36">
        <v>1.46</v>
      </c>
      <c r="G28" s="36">
        <v>1.46</v>
      </c>
    </row>
    <row r="29" spans="1:7" x14ac:dyDescent="0.25">
      <c r="A29" s="35" t="s">
        <v>16</v>
      </c>
      <c r="B29" s="13">
        <f>+C29+E29</f>
        <v>85025</v>
      </c>
      <c r="C29" s="13">
        <v>78777</v>
      </c>
      <c r="D29" s="13" t="s">
        <v>127</v>
      </c>
      <c r="E29" s="13">
        <v>6248</v>
      </c>
      <c r="F29" s="13" t="s">
        <v>128</v>
      </c>
      <c r="G29" s="13" t="s">
        <v>128</v>
      </c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37" t="s">
        <v>17</v>
      </c>
      <c r="B31" s="14"/>
      <c r="C31" s="14"/>
      <c r="D31" s="14"/>
      <c r="E31" s="14"/>
      <c r="F31" s="14"/>
      <c r="G31" s="14"/>
    </row>
    <row r="32" spans="1:7" x14ac:dyDescent="0.25">
      <c r="A32" s="14" t="s">
        <v>51</v>
      </c>
      <c r="B32" s="12">
        <f>B16/B27</f>
        <v>16114278144.866007</v>
      </c>
      <c r="C32" s="12">
        <f>C16/C27</f>
        <v>12671134552.302156</v>
      </c>
      <c r="D32" s="12"/>
      <c r="E32" s="12">
        <f>E16/E27</f>
        <v>1185244368.6330936</v>
      </c>
      <c r="F32" s="12">
        <f>F16/F27</f>
        <v>1905252101.6285973</v>
      </c>
      <c r="G32" s="12">
        <f>G16/G27</f>
        <v>352647122.3021583</v>
      </c>
    </row>
    <row r="33" spans="1:13" x14ac:dyDescent="0.25">
      <c r="A33" s="14" t="s">
        <v>52</v>
      </c>
      <c r="B33" s="12">
        <f t="shared" ref="B33:G33" si="0">B18/B28</f>
        <v>15870982345.547943</v>
      </c>
      <c r="C33" s="12">
        <f t="shared" si="0"/>
        <v>8793446143.1590328</v>
      </c>
      <c r="D33" s="12">
        <f t="shared" si="0"/>
        <v>3516995543.5532956</v>
      </c>
      <c r="E33" s="12">
        <f t="shared" si="0"/>
        <v>1095971769.2465754</v>
      </c>
      <c r="F33" s="12">
        <f t="shared" si="0"/>
        <v>1898575738.9041097</v>
      </c>
      <c r="G33" s="12">
        <f t="shared" si="0"/>
        <v>565993150.68493152</v>
      </c>
    </row>
    <row r="34" spans="1:13" x14ac:dyDescent="0.25">
      <c r="A34" s="14" t="s">
        <v>53</v>
      </c>
      <c r="B34" s="12">
        <f>B32/B10</f>
        <v>183787.20269238937</v>
      </c>
      <c r="C34" s="12">
        <f>C32/C10</f>
        <v>148721.65467625897</v>
      </c>
      <c r="D34" s="12"/>
      <c r="E34" s="12">
        <f>E32/E10</f>
        <v>478178.20143884898</v>
      </c>
      <c r="F34" s="12"/>
      <c r="G34" s="12"/>
    </row>
    <row r="35" spans="1:13" x14ac:dyDescent="0.25">
      <c r="A35" s="14" t="s">
        <v>54</v>
      </c>
      <c r="B35" s="12">
        <f>B33/B12</f>
        <v>174228.97941526151</v>
      </c>
      <c r="C35" s="12">
        <f>C33/C12</f>
        <v>139222.71881634288</v>
      </c>
      <c r="D35" s="12">
        <f>D33/D12</f>
        <v>139224.46203235362</v>
      </c>
      <c r="E35" s="12">
        <f>E33/E12</f>
        <v>410425.07898386294</v>
      </c>
      <c r="F35" s="12"/>
      <c r="G35" s="12"/>
    </row>
    <row r="36" spans="1:13" x14ac:dyDescent="0.25">
      <c r="A36" s="14"/>
      <c r="B36" s="14"/>
      <c r="C36" s="14"/>
      <c r="D36" s="14"/>
      <c r="E36" s="14"/>
      <c r="F36" s="14"/>
      <c r="G36" s="14"/>
    </row>
    <row r="37" spans="1:13" x14ac:dyDescent="0.25">
      <c r="A37" s="37" t="s">
        <v>22</v>
      </c>
      <c r="B37" s="14"/>
      <c r="C37" s="14"/>
      <c r="D37" s="14"/>
      <c r="E37" s="14"/>
      <c r="F37" s="14"/>
      <c r="G37" s="14"/>
    </row>
    <row r="38" spans="1:13" x14ac:dyDescent="0.25">
      <c r="A38" s="14"/>
      <c r="B38" s="14"/>
      <c r="C38" s="14"/>
      <c r="D38" s="14"/>
      <c r="E38" s="14"/>
      <c r="F38" s="14"/>
      <c r="G38" s="14"/>
    </row>
    <row r="39" spans="1:13" x14ac:dyDescent="0.25">
      <c r="A39" s="14" t="s">
        <v>23</v>
      </c>
      <c r="B39" s="14"/>
      <c r="C39" s="14"/>
      <c r="D39" s="14"/>
      <c r="E39" s="14"/>
      <c r="F39" s="14"/>
      <c r="G39" s="14"/>
    </row>
    <row r="40" spans="1:13" x14ac:dyDescent="0.25">
      <c r="A40" s="14" t="s">
        <v>24</v>
      </c>
      <c r="B40" s="8">
        <f>((C40*C17+E40*E17)/(C17+E17))</f>
        <v>106.3587022780923</v>
      </c>
      <c r="C40" s="8">
        <f t="shared" ref="C40:E40" si="1">(C11)/C29*100</f>
        <v>112.00985059090851</v>
      </c>
      <c r="D40" s="8"/>
      <c r="E40" s="8">
        <f t="shared" si="1"/>
        <v>50.032010243277846</v>
      </c>
      <c r="F40" s="8"/>
      <c r="G40" s="14"/>
      <c r="I40" s="15"/>
      <c r="J40" s="15"/>
      <c r="K40" s="15"/>
      <c r="L40" s="15"/>
      <c r="M40" s="15"/>
    </row>
    <row r="41" spans="1:13" x14ac:dyDescent="0.25">
      <c r="A41" s="14" t="s">
        <v>25</v>
      </c>
      <c r="B41" s="8">
        <f>((C41*C18+E41*E18)/(C18+E18))</f>
        <v>76.027981865171867</v>
      </c>
      <c r="C41" s="8">
        <f t="shared" ref="C41:E41" si="2">(C12)/C29*100</f>
        <v>80.176955202660665</v>
      </c>
      <c r="D41" s="8"/>
      <c r="E41" s="8">
        <f t="shared" si="2"/>
        <v>42.739009816474614</v>
      </c>
      <c r="F41" s="8"/>
      <c r="G41" s="14"/>
      <c r="I41" s="15"/>
      <c r="J41" s="15"/>
      <c r="K41" s="15"/>
      <c r="L41" s="15"/>
      <c r="M41" s="15"/>
    </row>
    <row r="42" spans="1:13" x14ac:dyDescent="0.25">
      <c r="A42" s="14"/>
      <c r="B42" s="14"/>
      <c r="C42" s="14"/>
      <c r="D42" s="14"/>
      <c r="E42" s="14"/>
      <c r="F42" s="14"/>
      <c r="G42" s="14"/>
      <c r="I42" s="15"/>
      <c r="J42" s="15"/>
      <c r="K42" s="15"/>
      <c r="L42" s="15"/>
      <c r="M42" s="15"/>
    </row>
    <row r="43" spans="1:13" x14ac:dyDescent="0.25">
      <c r="A43" s="14" t="s">
        <v>26</v>
      </c>
      <c r="B43" s="14"/>
      <c r="C43" s="14"/>
      <c r="D43" s="14"/>
      <c r="E43" s="14"/>
      <c r="F43" s="14"/>
      <c r="G43" s="14"/>
      <c r="I43" s="15"/>
      <c r="J43" s="15"/>
      <c r="K43" s="15"/>
      <c r="L43" s="15"/>
      <c r="M43" s="15"/>
    </row>
    <row r="44" spans="1:13" x14ac:dyDescent="0.25">
      <c r="A44" s="14" t="s">
        <v>27</v>
      </c>
      <c r="B44" s="8">
        <f>B12/B11*100</f>
        <v>99.703019424134951</v>
      </c>
      <c r="C44" s="8">
        <f>(C12+D12)/C11*100</f>
        <v>100.20890470470016</v>
      </c>
      <c r="D44" s="8"/>
      <c r="E44" s="8">
        <f>E12/E11*100</f>
        <v>85.423331200682455</v>
      </c>
      <c r="F44" s="8"/>
      <c r="G44" s="14"/>
      <c r="I44" s="15"/>
      <c r="J44" s="15"/>
      <c r="K44" s="15"/>
      <c r="L44" s="15"/>
      <c r="M44" s="15"/>
    </row>
    <row r="45" spans="1:13" x14ac:dyDescent="0.25">
      <c r="A45" s="14" t="s">
        <v>28</v>
      </c>
      <c r="B45" s="8">
        <f>B18/B17*100</f>
        <v>96.306289613236146</v>
      </c>
      <c r="C45" s="8">
        <f>(C18+D18)/C17*100</f>
        <v>96.822431935398711</v>
      </c>
      <c r="D45" s="8"/>
      <c r="E45" s="8">
        <f>E18/E17*100</f>
        <v>85.917030879510307</v>
      </c>
      <c r="F45" s="8">
        <f>F18/F17*100</f>
        <v>98.69740470481473</v>
      </c>
      <c r="G45" s="8">
        <f>G18/G17*100</f>
        <v>100</v>
      </c>
      <c r="I45" s="15"/>
      <c r="J45" s="15"/>
      <c r="K45" s="15"/>
      <c r="L45" s="15"/>
      <c r="M45" s="15"/>
    </row>
    <row r="46" spans="1:13" x14ac:dyDescent="0.25">
      <c r="A46" s="14" t="s">
        <v>29</v>
      </c>
      <c r="B46" s="8">
        <f>AVERAGE(B44:B45)</f>
        <v>98.004654518685555</v>
      </c>
      <c r="C46" s="8">
        <f t="shared" ref="C46:G46" si="3">AVERAGE(C44:C45)</f>
        <v>98.515668320049429</v>
      </c>
      <c r="D46" s="8"/>
      <c r="E46" s="8">
        <f t="shared" si="3"/>
        <v>85.670181040096381</v>
      </c>
      <c r="F46" s="8">
        <f t="shared" si="3"/>
        <v>98.69740470481473</v>
      </c>
      <c r="G46" s="8">
        <f t="shared" si="3"/>
        <v>100</v>
      </c>
      <c r="I46" s="15"/>
      <c r="J46" s="15"/>
      <c r="K46" s="15"/>
      <c r="L46" s="15"/>
      <c r="M46" s="15"/>
    </row>
    <row r="47" spans="1:13" x14ac:dyDescent="0.25">
      <c r="A47" s="14"/>
      <c r="B47" s="8"/>
      <c r="C47" s="8"/>
      <c r="D47" s="8"/>
      <c r="E47" s="8"/>
      <c r="F47" s="8"/>
      <c r="G47" s="8"/>
      <c r="I47" s="15"/>
      <c r="J47" s="15"/>
      <c r="K47" s="15"/>
      <c r="L47" s="15"/>
      <c r="M47" s="15"/>
    </row>
    <row r="48" spans="1:13" x14ac:dyDescent="0.25">
      <c r="A48" s="14" t="s">
        <v>30</v>
      </c>
      <c r="B48" s="14"/>
      <c r="C48" s="14"/>
      <c r="D48" s="14"/>
      <c r="E48" s="14"/>
      <c r="F48" s="14"/>
      <c r="G48" s="14"/>
      <c r="I48" s="15"/>
      <c r="J48" s="15"/>
      <c r="K48" s="15"/>
      <c r="L48" s="15"/>
      <c r="M48" s="15"/>
    </row>
    <row r="49" spans="1:13" x14ac:dyDescent="0.25">
      <c r="A49" s="14" t="s">
        <v>31</v>
      </c>
      <c r="B49" s="8">
        <f>B12/(B13*4)*100</f>
        <v>24.905310279712882</v>
      </c>
      <c r="C49" s="8">
        <f>(C12+D12)/(C13*4)*100</f>
        <v>25.05222617617504</v>
      </c>
      <c r="D49" s="8"/>
      <c r="E49" s="8">
        <f t="shared" ref="E49" si="4">E12/(E13*4)*100</f>
        <v>20.855461834843279</v>
      </c>
      <c r="F49" s="8"/>
      <c r="G49" s="8"/>
      <c r="I49" s="15"/>
      <c r="J49" s="15"/>
      <c r="K49" s="15"/>
      <c r="L49" s="15"/>
      <c r="M49" s="15"/>
    </row>
    <row r="50" spans="1:13" x14ac:dyDescent="0.25">
      <c r="A50" s="14" t="s">
        <v>32</v>
      </c>
      <c r="B50" s="8">
        <f>B18/B19*100</f>
        <v>23.991930470141977</v>
      </c>
      <c r="C50" s="8">
        <f>(C18+D18)/C19*100</f>
        <v>24.205607983849678</v>
      </c>
      <c r="D50" s="8"/>
      <c r="E50" s="8">
        <f>E18/E19*100</f>
        <v>20.651756986874201</v>
      </c>
      <c r="F50" s="8">
        <f>F18/F19*100</f>
        <v>24.584553765448693</v>
      </c>
      <c r="G50" s="8">
        <f>G18/G19*100</f>
        <v>25</v>
      </c>
      <c r="I50" s="15"/>
      <c r="J50" s="15"/>
      <c r="K50" s="15"/>
      <c r="L50" s="15"/>
      <c r="M50" s="15"/>
    </row>
    <row r="51" spans="1:13" x14ac:dyDescent="0.25">
      <c r="A51" s="14" t="s">
        <v>33</v>
      </c>
      <c r="B51" s="8">
        <f>(B49+B50)/2</f>
        <v>24.44862037492743</v>
      </c>
      <c r="C51" s="8">
        <f t="shared" ref="C51:E51" si="5">(C49+C50)/2</f>
        <v>24.628917080012357</v>
      </c>
      <c r="D51" s="8"/>
      <c r="E51" s="8">
        <f t="shared" si="5"/>
        <v>20.75360941085874</v>
      </c>
      <c r="F51" s="8">
        <f t="shared" ref="F51:G51" si="6">AVERAGE(F49:F50)</f>
        <v>24.584553765448693</v>
      </c>
      <c r="G51" s="8">
        <f t="shared" si="6"/>
        <v>25</v>
      </c>
      <c r="I51" s="15"/>
      <c r="J51" s="15"/>
      <c r="K51" s="15"/>
      <c r="L51" s="15"/>
      <c r="M51" s="15"/>
    </row>
    <row r="52" spans="1:13" x14ac:dyDescent="0.25">
      <c r="A52" s="14"/>
      <c r="B52" s="14"/>
      <c r="C52" s="14"/>
      <c r="D52" s="14"/>
      <c r="E52" s="14"/>
      <c r="F52" s="14"/>
      <c r="G52" s="14"/>
      <c r="I52" s="15"/>
      <c r="J52" s="15"/>
      <c r="K52" s="15"/>
      <c r="L52" s="15"/>
      <c r="M52" s="15"/>
    </row>
    <row r="53" spans="1:13" x14ac:dyDescent="0.25">
      <c r="A53" s="14" t="s">
        <v>100</v>
      </c>
      <c r="B53" s="14"/>
      <c r="C53" s="14"/>
      <c r="D53" s="14"/>
      <c r="E53" s="14"/>
      <c r="F53" s="14"/>
      <c r="G53" s="14"/>
      <c r="I53" s="15"/>
      <c r="J53" s="15"/>
      <c r="K53" s="15"/>
      <c r="L53" s="15"/>
      <c r="M53" s="15"/>
    </row>
    <row r="54" spans="1:13" x14ac:dyDescent="0.25">
      <c r="A54" s="14" t="s">
        <v>34</v>
      </c>
      <c r="B54" s="8">
        <f>(B20/B18)*100</f>
        <v>96.433786275090256</v>
      </c>
      <c r="C54" s="8">
        <f t="shared" ref="C54:F54" si="7">(C20/C18)*100</f>
        <v>100</v>
      </c>
      <c r="D54" s="8">
        <f t="shared" si="7"/>
        <v>100</v>
      </c>
      <c r="E54" s="8">
        <f t="shared" si="7"/>
        <v>100</v>
      </c>
      <c r="F54" s="8">
        <f t="shared" si="7"/>
        <v>100</v>
      </c>
      <c r="G54" s="8"/>
      <c r="I54" s="15"/>
      <c r="J54" s="15"/>
      <c r="K54" s="15"/>
      <c r="L54" s="15"/>
      <c r="M54" s="15"/>
    </row>
    <row r="55" spans="1:13" x14ac:dyDescent="0.25">
      <c r="A55" s="14"/>
      <c r="B55" s="14"/>
      <c r="C55" s="14"/>
      <c r="D55" s="14"/>
      <c r="E55" s="14"/>
      <c r="F55" s="14"/>
      <c r="G55" s="14"/>
      <c r="I55" s="15"/>
      <c r="J55" s="15"/>
      <c r="K55" s="15"/>
      <c r="L55" s="15"/>
      <c r="M55" s="15"/>
    </row>
    <row r="56" spans="1:13" x14ac:dyDescent="0.25">
      <c r="A56" s="14" t="s">
        <v>35</v>
      </c>
      <c r="B56" s="14"/>
      <c r="C56" s="14"/>
      <c r="D56" s="14"/>
      <c r="E56" s="14"/>
      <c r="F56" s="14"/>
      <c r="G56" s="14"/>
      <c r="I56" s="15"/>
      <c r="J56" s="15"/>
      <c r="K56" s="15"/>
      <c r="L56" s="15"/>
      <c r="M56" s="15"/>
    </row>
    <row r="57" spans="1:13" x14ac:dyDescent="0.25">
      <c r="A57" s="14" t="s">
        <v>36</v>
      </c>
      <c r="B57" s="8">
        <f>((B12/B10)-1)*100</f>
        <v>3.8933686135410595</v>
      </c>
      <c r="C57" s="8">
        <f>(((C12+D12)/C10)-1)*100</f>
        <v>3.7816753455581109</v>
      </c>
      <c r="D57" s="8"/>
      <c r="E57" s="8">
        <f>((E12/E10)-1)*100</f>
        <v>7.732651963421211</v>
      </c>
      <c r="F57" s="8"/>
      <c r="G57" s="8"/>
      <c r="I57" s="15"/>
      <c r="J57" s="15"/>
      <c r="K57" s="15"/>
      <c r="L57" s="15"/>
      <c r="M57" s="15"/>
    </row>
    <row r="58" spans="1:13" x14ac:dyDescent="0.25">
      <c r="A58" s="14" t="s">
        <v>37</v>
      </c>
      <c r="B58" s="8">
        <f>((B33/B32)-1)*100</f>
        <v>-1.5098150666809529</v>
      </c>
      <c r="C58" s="8">
        <f>(((C33+D33)/C32)-1)*100</f>
        <v>-2.8465711898252755</v>
      </c>
      <c r="D58" s="8"/>
      <c r="E58" s="8">
        <f t="shared" ref="E58:G58" si="8">((E33/E32)-1)*100</f>
        <v>-7.5319994550553044</v>
      </c>
      <c r="F58" s="8">
        <f t="shared" si="8"/>
        <v>-0.3504188615659154</v>
      </c>
      <c r="G58" s="8">
        <f t="shared" si="8"/>
        <v>60.498445865658354</v>
      </c>
      <c r="I58" s="15"/>
      <c r="J58" s="15"/>
      <c r="K58" s="15"/>
      <c r="L58" s="15"/>
      <c r="M58" s="15"/>
    </row>
    <row r="59" spans="1:13" x14ac:dyDescent="0.25">
      <c r="A59" s="14" t="s">
        <v>38</v>
      </c>
      <c r="B59" s="8">
        <f>((B35/B34)-1)*100</f>
        <v>-5.2007012115668267</v>
      </c>
      <c r="C59" s="8">
        <f>(((C35+D35)/(C34*2))-1)*100</f>
        <v>-6.3864702639211064</v>
      </c>
      <c r="D59" s="8"/>
      <c r="E59" s="8">
        <f t="shared" ref="E59" si="9">((E35/E34)-1)*100</f>
        <v>-14.169011103206996</v>
      </c>
      <c r="F59" s="8"/>
      <c r="G59" s="8"/>
      <c r="I59" s="15"/>
      <c r="J59" s="15"/>
      <c r="K59" s="15"/>
      <c r="L59" s="15"/>
      <c r="M59" s="15"/>
    </row>
    <row r="60" spans="1:13" x14ac:dyDescent="0.25">
      <c r="A60" s="14"/>
      <c r="B60" s="8"/>
      <c r="C60" s="8"/>
      <c r="D60" s="8"/>
      <c r="E60" s="8"/>
      <c r="F60" s="8"/>
      <c r="G60" s="8"/>
      <c r="I60" s="15"/>
      <c r="J60" s="15"/>
      <c r="K60" s="15"/>
      <c r="L60" s="15"/>
      <c r="M60" s="15"/>
    </row>
    <row r="61" spans="1:13" x14ac:dyDescent="0.25">
      <c r="A61" s="14" t="s">
        <v>39</v>
      </c>
      <c r="B61" s="14"/>
      <c r="C61" s="14"/>
      <c r="D61" s="14"/>
      <c r="E61" s="14"/>
      <c r="F61" s="14"/>
      <c r="G61" s="14"/>
      <c r="I61" s="15"/>
      <c r="J61" s="15"/>
      <c r="K61" s="15"/>
      <c r="L61" s="15"/>
      <c r="M61" s="15"/>
    </row>
    <row r="62" spans="1:13" x14ac:dyDescent="0.25">
      <c r="A62" s="14" t="s">
        <v>101</v>
      </c>
      <c r="B62" s="12">
        <f>B17/(B11*3)</f>
        <v>87782.036761488838</v>
      </c>
      <c r="C62" s="12">
        <f t="shared" ref="C62:E63" si="10">C17/(C11*3)</f>
        <v>70125.116163104336</v>
      </c>
      <c r="D62" s="12"/>
      <c r="E62" s="12">
        <f t="shared" si="10"/>
        <v>198592.45041586692</v>
      </c>
      <c r="F62" s="12"/>
      <c r="G62" s="12"/>
      <c r="I62" s="15"/>
      <c r="J62" s="15"/>
      <c r="K62" s="15"/>
      <c r="L62" s="15"/>
      <c r="M62" s="15"/>
    </row>
    <row r="63" spans="1:13" x14ac:dyDescent="0.25">
      <c r="A63" s="14" t="s">
        <v>102</v>
      </c>
      <c r="B63" s="12">
        <f>B18/(B12*3)</f>
        <v>84791.436648760588</v>
      </c>
      <c r="C63" s="12">
        <f>(C18+D18)/(C12*3)</f>
        <v>94854.128669062658</v>
      </c>
      <c r="D63" s="12"/>
      <c r="E63" s="12">
        <f t="shared" si="10"/>
        <v>199740.20510547995</v>
      </c>
      <c r="F63" s="12"/>
      <c r="G63" s="12"/>
      <c r="I63" s="15"/>
      <c r="J63" s="15"/>
      <c r="K63" s="15"/>
      <c r="L63" s="15"/>
      <c r="M63" s="15"/>
    </row>
    <row r="64" spans="1:13" x14ac:dyDescent="0.25">
      <c r="A64" s="14" t="s">
        <v>40</v>
      </c>
      <c r="B64" s="8">
        <f>(B62/B63)*B46</f>
        <v>101.46128578282583</v>
      </c>
      <c r="C64" s="8">
        <f t="shared" ref="C64:E64" si="11">(C62/C63)*C46</f>
        <v>72.832071537256709</v>
      </c>
      <c r="D64" s="8"/>
      <c r="E64" s="8">
        <f t="shared" si="11"/>
        <v>85.177899819113151</v>
      </c>
      <c r="F64" s="8"/>
      <c r="G64" s="8"/>
      <c r="I64" s="15"/>
      <c r="J64" s="15"/>
      <c r="K64" s="15"/>
      <c r="L64" s="15"/>
      <c r="M64" s="15"/>
    </row>
    <row r="65" spans="1:13" x14ac:dyDescent="0.25">
      <c r="A65" s="8" t="s">
        <v>103</v>
      </c>
      <c r="B65" s="12">
        <f>B17/B11</f>
        <v>263346.11028446653</v>
      </c>
      <c r="C65" s="12">
        <f t="shared" ref="C65:E66" si="12">C17/C11</f>
        <v>210375.34848931301</v>
      </c>
      <c r="D65" s="12"/>
      <c r="E65" s="12">
        <f t="shared" si="12"/>
        <v>595777.35124760075</v>
      </c>
      <c r="F65" s="8"/>
      <c r="G65" s="8"/>
      <c r="I65" s="15"/>
      <c r="J65" s="15"/>
      <c r="K65" s="15"/>
      <c r="L65" s="15"/>
      <c r="M65" s="15"/>
    </row>
    <row r="66" spans="1:13" x14ac:dyDescent="0.25">
      <c r="A66" s="8" t="s">
        <v>104</v>
      </c>
      <c r="B66" s="12">
        <f>B18/B12</f>
        <v>254374.30994628181</v>
      </c>
      <c r="C66" s="12">
        <f>(C18+D18)/C12</f>
        <v>284562.38600718795</v>
      </c>
      <c r="D66" s="12"/>
      <c r="E66" s="12">
        <f t="shared" si="12"/>
        <v>599220.61531643977</v>
      </c>
      <c r="F66" s="8"/>
      <c r="G66" s="8"/>
      <c r="I66" s="15"/>
      <c r="J66" s="15"/>
      <c r="K66" s="15"/>
      <c r="L66" s="15"/>
      <c r="M66" s="15"/>
    </row>
    <row r="67" spans="1:13" x14ac:dyDescent="0.25">
      <c r="A67" s="14"/>
      <c r="B67" s="8"/>
      <c r="C67" s="8"/>
      <c r="D67" s="8"/>
      <c r="E67" s="8"/>
      <c r="F67" s="8"/>
      <c r="G67" s="8"/>
      <c r="I67" s="15"/>
      <c r="J67" s="15"/>
      <c r="K67" s="15"/>
      <c r="L67" s="15"/>
      <c r="M67" s="15"/>
    </row>
    <row r="68" spans="1:13" x14ac:dyDescent="0.25">
      <c r="A68" s="14" t="s">
        <v>41</v>
      </c>
      <c r="B68" s="8"/>
      <c r="C68" s="8"/>
      <c r="D68" s="8"/>
      <c r="E68" s="8"/>
      <c r="F68" s="8"/>
      <c r="G68" s="8"/>
      <c r="I68" s="15"/>
      <c r="J68" s="15"/>
      <c r="K68" s="15"/>
      <c r="L68" s="15"/>
      <c r="M68" s="15"/>
    </row>
    <row r="69" spans="1:13" x14ac:dyDescent="0.25">
      <c r="A69" s="14" t="s">
        <v>42</v>
      </c>
      <c r="B69" s="8">
        <f>(B24/B23)*100</f>
        <v>106.38864333829152</v>
      </c>
      <c r="C69" s="8"/>
      <c r="D69" s="8"/>
      <c r="E69" s="8"/>
      <c r="F69" s="8"/>
      <c r="G69" s="8"/>
      <c r="I69" s="15"/>
      <c r="J69" s="15"/>
      <c r="K69" s="15"/>
      <c r="L69" s="15"/>
      <c r="M69" s="15"/>
    </row>
    <row r="70" spans="1:13" x14ac:dyDescent="0.25">
      <c r="A70" s="14" t="s">
        <v>43</v>
      </c>
      <c r="B70" s="8">
        <f>(B18/B24)*100</f>
        <v>90.523092118962552</v>
      </c>
      <c r="C70" s="8"/>
      <c r="D70" s="8"/>
      <c r="E70" s="8"/>
      <c r="F70" s="8"/>
      <c r="G70" s="8"/>
      <c r="I70" s="15"/>
      <c r="J70" s="15"/>
      <c r="K70" s="15"/>
      <c r="L70" s="15"/>
      <c r="M70" s="15"/>
    </row>
    <row r="71" spans="1:13" ht="15.75" thickBot="1" x14ac:dyDescent="0.3">
      <c r="A71" s="38"/>
      <c r="B71" s="38"/>
      <c r="C71" s="38"/>
      <c r="D71" s="38"/>
      <c r="E71" s="38"/>
      <c r="F71" s="38"/>
      <c r="G71" s="38"/>
    </row>
    <row r="72" spans="1:13" ht="15.75" thickTop="1" x14ac:dyDescent="0.25">
      <c r="A72" s="14"/>
      <c r="B72" s="14"/>
      <c r="C72" s="14"/>
      <c r="D72" s="14"/>
      <c r="E72" s="14"/>
      <c r="F72" s="14"/>
      <c r="G72" s="14"/>
    </row>
    <row r="73" spans="1:13" x14ac:dyDescent="0.25">
      <c r="A73" s="14" t="s">
        <v>55</v>
      </c>
      <c r="B73" s="14"/>
      <c r="C73" s="14"/>
      <c r="D73" s="14"/>
      <c r="E73" s="14"/>
      <c r="F73" s="14"/>
      <c r="G73" s="14"/>
    </row>
    <row r="74" spans="1:13" x14ac:dyDescent="0.25">
      <c r="A74" s="14" t="s">
        <v>116</v>
      </c>
      <c r="B74" s="14"/>
      <c r="C74" s="14"/>
      <c r="D74" s="14"/>
      <c r="E74" s="14"/>
      <c r="F74" s="14"/>
      <c r="G74" s="14"/>
    </row>
    <row r="75" spans="1:13" x14ac:dyDescent="0.25">
      <c r="A75" s="14" t="s">
        <v>117</v>
      </c>
      <c r="B75" s="56"/>
      <c r="C75" s="56"/>
      <c r="D75" s="56"/>
      <c r="E75" s="56"/>
      <c r="F75" s="14"/>
      <c r="G75" s="14"/>
    </row>
    <row r="76" spans="1:13" x14ac:dyDescent="0.25">
      <c r="A76" s="14" t="s">
        <v>118</v>
      </c>
      <c r="B76" s="14"/>
      <c r="C76" s="14"/>
      <c r="D76" s="14"/>
      <c r="E76" s="14"/>
      <c r="F76" s="14"/>
      <c r="G76" s="14"/>
    </row>
    <row r="77" spans="1:13" x14ac:dyDescent="0.25">
      <c r="A77" s="14"/>
      <c r="B77" s="14"/>
      <c r="C77" s="14"/>
      <c r="D77" s="14"/>
      <c r="E77" s="14"/>
      <c r="F77" s="14"/>
      <c r="G77" s="14"/>
    </row>
    <row r="78" spans="1:13" x14ac:dyDescent="0.25">
      <c r="A78" s="14" t="s">
        <v>119</v>
      </c>
      <c r="B78" s="14"/>
      <c r="C78" s="14"/>
      <c r="D78" s="14"/>
      <c r="E78" s="14"/>
      <c r="F78" s="14"/>
      <c r="G78" s="14"/>
    </row>
    <row r="79" spans="1:13" x14ac:dyDescent="0.25">
      <c r="A79" s="14" t="s">
        <v>121</v>
      </c>
      <c r="B79" s="14"/>
      <c r="C79" s="14"/>
      <c r="D79" s="14"/>
      <c r="E79" s="14"/>
      <c r="F79" s="14"/>
      <c r="G79" s="14"/>
    </row>
    <row r="80" spans="1:13" x14ac:dyDescent="0.25">
      <c r="A80" s="14" t="s">
        <v>120</v>
      </c>
      <c r="B80" s="14"/>
      <c r="C80" s="14"/>
      <c r="D80" s="14"/>
      <c r="E80" s="14"/>
      <c r="F80" s="14"/>
      <c r="G80" s="14"/>
    </row>
    <row r="81" spans="1:7" x14ac:dyDescent="0.25">
      <c r="A81" s="14" t="s">
        <v>122</v>
      </c>
      <c r="B81" s="14"/>
      <c r="C81" s="14"/>
      <c r="D81" s="14"/>
      <c r="E81" s="14"/>
      <c r="F81" s="14"/>
      <c r="G81" s="14"/>
    </row>
    <row r="82" spans="1:7" x14ac:dyDescent="0.25">
      <c r="A82" s="57" t="s">
        <v>123</v>
      </c>
      <c r="B82" s="14"/>
      <c r="C82" s="14"/>
      <c r="D82" s="14"/>
      <c r="E82" s="14"/>
      <c r="F82" s="14"/>
      <c r="G82" s="14"/>
    </row>
    <row r="83" spans="1:7" x14ac:dyDescent="0.25">
      <c r="A83" s="16" t="s">
        <v>124</v>
      </c>
    </row>
  </sheetData>
  <mergeCells count="7">
    <mergeCell ref="A2:G2"/>
    <mergeCell ref="A4:A5"/>
    <mergeCell ref="B4:B5"/>
    <mergeCell ref="C4:E4"/>
    <mergeCell ref="F4:F5"/>
    <mergeCell ref="G4:G5"/>
    <mergeCell ref="C5:D5"/>
  </mergeCells>
  <pageMargins left="0.7" right="0.7" top="0.75" bottom="0.75" header="0.3" footer="0.3"/>
  <pageSetup scale="3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3"/>
  <sheetViews>
    <sheetView topLeftCell="A88" workbookViewId="0">
      <selection sqref="A1:H73"/>
    </sheetView>
  </sheetViews>
  <sheetFormatPr baseColWidth="10" defaultRowHeight="15" x14ac:dyDescent="0.25"/>
  <cols>
    <col min="1" max="1" width="55.140625" style="1" customWidth="1"/>
    <col min="2" max="2" width="16.140625" style="1" customWidth="1"/>
    <col min="3" max="3" width="17" style="1" bestFit="1" customWidth="1"/>
    <col min="4" max="4" width="17" style="1" customWidth="1"/>
    <col min="5" max="5" width="16.42578125" style="1" bestFit="1" customWidth="1"/>
    <col min="6" max="6" width="14.7109375" style="1" bestFit="1" customWidth="1"/>
    <col min="7" max="7" width="17.5703125" style="1" bestFit="1" customWidth="1"/>
    <col min="8" max="16384" width="11.42578125" style="1"/>
  </cols>
  <sheetData>
    <row r="1" spans="1:8" x14ac:dyDescent="0.25">
      <c r="A1" s="14"/>
      <c r="B1" s="14"/>
      <c r="C1" s="14"/>
      <c r="D1" s="14"/>
      <c r="E1" s="14"/>
      <c r="F1" s="14"/>
      <c r="G1" s="14"/>
      <c r="H1" s="14"/>
    </row>
    <row r="2" spans="1:8" ht="15.75" x14ac:dyDescent="0.25">
      <c r="A2" s="49" t="s">
        <v>56</v>
      </c>
      <c r="B2" s="49"/>
      <c r="C2" s="49"/>
      <c r="D2" s="49"/>
      <c r="E2" s="49"/>
      <c r="F2" s="49"/>
      <c r="G2" s="49"/>
      <c r="H2" s="14"/>
    </row>
    <row r="3" spans="1:8" x14ac:dyDescent="0.25">
      <c r="A3" s="14"/>
      <c r="B3" s="14"/>
      <c r="C3" s="14"/>
      <c r="D3" s="14"/>
      <c r="E3" s="14"/>
      <c r="F3" s="14"/>
      <c r="G3" s="14"/>
      <c r="H3" s="14"/>
    </row>
    <row r="4" spans="1:8" x14ac:dyDescent="0.25">
      <c r="A4" s="50" t="s">
        <v>1</v>
      </c>
      <c r="B4" s="50" t="s">
        <v>105</v>
      </c>
      <c r="C4" s="51" t="s">
        <v>2</v>
      </c>
      <c r="D4" s="51"/>
      <c r="E4" s="51"/>
      <c r="F4" s="50" t="s">
        <v>3</v>
      </c>
      <c r="G4" s="50" t="s">
        <v>4</v>
      </c>
      <c r="H4" s="14"/>
    </row>
    <row r="5" spans="1:8" ht="15.75" thickBot="1" x14ac:dyDescent="0.3">
      <c r="A5" s="52"/>
      <c r="B5" s="52"/>
      <c r="C5" s="53" t="s">
        <v>106</v>
      </c>
      <c r="D5" s="53"/>
      <c r="E5" s="54" t="s">
        <v>107</v>
      </c>
      <c r="F5" s="52"/>
      <c r="G5" s="52"/>
      <c r="H5" s="14"/>
    </row>
    <row r="6" spans="1:8" ht="15.75" thickTop="1" x14ac:dyDescent="0.25">
      <c r="A6" s="14"/>
      <c r="B6" s="14"/>
      <c r="C6" s="55" t="s">
        <v>126</v>
      </c>
      <c r="D6" s="55" t="s">
        <v>125</v>
      </c>
      <c r="E6" s="14"/>
      <c r="F6" s="14"/>
      <c r="G6" s="14"/>
      <c r="H6" s="14"/>
    </row>
    <row r="7" spans="1:8" x14ac:dyDescent="0.25">
      <c r="A7" s="37" t="s">
        <v>5</v>
      </c>
      <c r="B7" s="14"/>
      <c r="C7" s="14"/>
      <c r="D7" s="14"/>
      <c r="E7" s="14"/>
      <c r="F7" s="14"/>
      <c r="G7" s="14"/>
      <c r="H7" s="14"/>
    </row>
    <row r="8" spans="1:8" x14ac:dyDescent="0.25">
      <c r="A8" s="14"/>
      <c r="B8" s="14"/>
      <c r="C8" s="14"/>
      <c r="D8" s="14"/>
      <c r="E8" s="14"/>
      <c r="F8" s="14"/>
      <c r="G8" s="14"/>
      <c r="H8" s="14"/>
    </row>
    <row r="9" spans="1:8" x14ac:dyDescent="0.25">
      <c r="A9" s="14" t="s">
        <v>114</v>
      </c>
      <c r="B9" s="14"/>
      <c r="C9" s="14"/>
      <c r="D9" s="14"/>
      <c r="E9" s="14"/>
      <c r="F9" s="14"/>
      <c r="G9" s="14"/>
      <c r="H9" s="14"/>
    </row>
    <row r="10" spans="1:8" x14ac:dyDescent="0.25">
      <c r="A10" s="35" t="s">
        <v>57</v>
      </c>
      <c r="B10" s="12">
        <f>SUM(C10:G10)</f>
        <v>88845.666666666657</v>
      </c>
      <c r="C10" s="12">
        <v>86332.333333333328</v>
      </c>
      <c r="D10" s="12"/>
      <c r="E10" s="12">
        <v>2513.3333333333335</v>
      </c>
      <c r="F10" s="12"/>
      <c r="G10" s="14"/>
      <c r="H10" s="14"/>
    </row>
    <row r="11" spans="1:8" x14ac:dyDescent="0.25">
      <c r="A11" s="35" t="s">
        <v>58</v>
      </c>
      <c r="B11" s="12">
        <f>SUM(C11:G11)</f>
        <v>91514</v>
      </c>
      <c r="C11" s="12">
        <v>88238</v>
      </c>
      <c r="D11" s="12"/>
      <c r="E11" s="12">
        <v>3276</v>
      </c>
      <c r="F11" s="12"/>
      <c r="G11" s="14"/>
      <c r="H11" s="14"/>
    </row>
    <row r="12" spans="1:8" x14ac:dyDescent="0.25">
      <c r="A12" s="35" t="s">
        <v>59</v>
      </c>
      <c r="B12" s="12">
        <f>SUM(C12:G12)</f>
        <v>91796</v>
      </c>
      <c r="C12" s="12">
        <v>63617.333333333336</v>
      </c>
      <c r="D12" s="12">
        <v>25442.333333333332</v>
      </c>
      <c r="E12" s="12">
        <v>2736.3333333333335</v>
      </c>
      <c r="F12" s="12"/>
      <c r="G12" s="14"/>
      <c r="H12" s="14"/>
    </row>
    <row r="13" spans="1:8" x14ac:dyDescent="0.25">
      <c r="A13" s="35" t="s">
        <v>9</v>
      </c>
      <c r="B13" s="12">
        <f>SUM(C13:H13)</f>
        <v>91439</v>
      </c>
      <c r="C13" s="12">
        <v>88238</v>
      </c>
      <c r="D13" s="12"/>
      <c r="E13" s="12">
        <v>3201</v>
      </c>
      <c r="F13" s="12"/>
      <c r="G13" s="14"/>
      <c r="H13" s="14"/>
    </row>
    <row r="14" spans="1:8" x14ac:dyDescent="0.25">
      <c r="A14" s="14"/>
      <c r="B14" s="14"/>
      <c r="C14" s="14"/>
      <c r="D14" s="14"/>
      <c r="E14" s="14"/>
      <c r="F14" s="14"/>
      <c r="G14" s="14"/>
      <c r="H14" s="14"/>
    </row>
    <row r="15" spans="1:8" x14ac:dyDescent="0.25">
      <c r="A15" s="34" t="s">
        <v>10</v>
      </c>
      <c r="B15" s="14"/>
      <c r="C15" s="14"/>
      <c r="D15" s="14"/>
      <c r="E15" s="14"/>
      <c r="F15" s="14"/>
      <c r="G15" s="14"/>
      <c r="H15" s="14"/>
    </row>
    <row r="16" spans="1:8" x14ac:dyDescent="0.25">
      <c r="A16" s="35" t="s">
        <v>57</v>
      </c>
      <c r="B16" s="12">
        <f>SUM(C16:G16)</f>
        <v>23127123684.048752</v>
      </c>
      <c r="C16" s="12">
        <v>17846887576.900002</v>
      </c>
      <c r="D16" s="12"/>
      <c r="E16" s="12">
        <v>1670531486</v>
      </c>
      <c r="F16" s="12">
        <v>2683645121.1487503</v>
      </c>
      <c r="G16" s="12">
        <v>926059500</v>
      </c>
      <c r="H16" s="14"/>
    </row>
    <row r="17" spans="1:8" x14ac:dyDescent="0.25">
      <c r="A17" s="35" t="s">
        <v>58</v>
      </c>
      <c r="B17" s="12">
        <f>SUM(C17:G17)</f>
        <v>24228593367.075001</v>
      </c>
      <c r="C17" s="12">
        <v>18563100000</v>
      </c>
      <c r="D17" s="12"/>
      <c r="E17" s="12">
        <v>2010300000</v>
      </c>
      <c r="F17" s="12">
        <v>2828843367.0750003</v>
      </c>
      <c r="G17" s="11">
        <v>826350000</v>
      </c>
      <c r="H17" s="14"/>
    </row>
    <row r="18" spans="1:8" x14ac:dyDescent="0.25">
      <c r="A18" s="35" t="s">
        <v>59</v>
      </c>
      <c r="B18" s="12">
        <f>SUM(C18:G18)</f>
        <v>23619472551.999996</v>
      </c>
      <c r="C18" s="12">
        <v>13097865405.610846</v>
      </c>
      <c r="D18" s="12">
        <v>5238082780.2891531</v>
      </c>
      <c r="E18" s="12">
        <v>1663164932.3</v>
      </c>
      <c r="F18" s="12">
        <v>2794009433.8000002</v>
      </c>
      <c r="G18" s="11">
        <v>826350000</v>
      </c>
      <c r="H18" s="14"/>
    </row>
    <row r="19" spans="1:8" x14ac:dyDescent="0.25">
      <c r="A19" s="35" t="s">
        <v>9</v>
      </c>
      <c r="B19" s="12">
        <f>SUM(C19:G19)</f>
        <v>96580949387.699997</v>
      </c>
      <c r="C19" s="12">
        <v>74252400000</v>
      </c>
      <c r="D19" s="12"/>
      <c r="E19" s="12">
        <v>7748100000</v>
      </c>
      <c r="F19" s="12">
        <v>11275049387.700001</v>
      </c>
      <c r="G19" s="11">
        <v>3305400000</v>
      </c>
      <c r="H19" s="14"/>
    </row>
    <row r="20" spans="1:8" x14ac:dyDescent="0.25">
      <c r="A20" s="35" t="s">
        <v>60</v>
      </c>
      <c r="B20" s="12">
        <f>SUM(C20:F20)</f>
        <v>22793122551.999996</v>
      </c>
      <c r="C20" s="12">
        <f>C18</f>
        <v>13097865405.610846</v>
      </c>
      <c r="D20" s="12">
        <f>D18</f>
        <v>5238082780.2891531</v>
      </c>
      <c r="E20" s="12">
        <f t="shared" ref="E20:F20" si="0">E18</f>
        <v>1663164932.3</v>
      </c>
      <c r="F20" s="12">
        <f t="shared" si="0"/>
        <v>2794009433.8000002</v>
      </c>
      <c r="G20" s="11"/>
      <c r="H20" s="14"/>
    </row>
    <row r="21" spans="1:8" x14ac:dyDescent="0.25">
      <c r="A21" s="14"/>
      <c r="B21" s="12"/>
      <c r="C21" s="12"/>
      <c r="D21" s="12"/>
      <c r="E21" s="12"/>
      <c r="F21" s="12"/>
      <c r="G21" s="14"/>
      <c r="H21" s="14"/>
    </row>
    <row r="22" spans="1:8" x14ac:dyDescent="0.25">
      <c r="A22" s="34" t="s">
        <v>12</v>
      </c>
      <c r="B22" s="12"/>
      <c r="C22" s="12"/>
      <c r="D22" s="12"/>
      <c r="E22" s="12"/>
      <c r="F22" s="12"/>
      <c r="G22" s="12"/>
      <c r="H22" s="14"/>
    </row>
    <row r="23" spans="1:8" x14ac:dyDescent="0.25">
      <c r="A23" s="35" t="s">
        <v>58</v>
      </c>
      <c r="B23" s="12">
        <f>B17</f>
        <v>24228593367.075001</v>
      </c>
      <c r="C23" s="12"/>
      <c r="D23" s="12"/>
      <c r="E23" s="12"/>
      <c r="F23" s="12"/>
      <c r="G23" s="12"/>
      <c r="H23" s="14"/>
    </row>
    <row r="24" spans="1:8" x14ac:dyDescent="0.25">
      <c r="A24" s="35" t="s">
        <v>59</v>
      </c>
      <c r="B24" s="12">
        <f>6804648064.5+9801258817.8+8236915669.7</f>
        <v>24842822552</v>
      </c>
      <c r="C24" s="12"/>
      <c r="D24" s="12"/>
      <c r="E24" s="12"/>
      <c r="F24" s="12"/>
      <c r="G24" s="12"/>
      <c r="H24" s="14"/>
    </row>
    <row r="25" spans="1:8" x14ac:dyDescent="0.25">
      <c r="A25" s="14"/>
      <c r="B25" s="14"/>
      <c r="C25" s="14"/>
      <c r="D25" s="14"/>
      <c r="E25" s="14"/>
      <c r="F25" s="14"/>
      <c r="G25" s="14"/>
      <c r="H25" s="14"/>
    </row>
    <row r="26" spans="1:8" x14ac:dyDescent="0.25">
      <c r="A26" s="14" t="s">
        <v>13</v>
      </c>
      <c r="B26" s="14"/>
      <c r="C26" s="14"/>
      <c r="D26" s="14"/>
      <c r="E26" s="14"/>
      <c r="F26" s="14"/>
      <c r="G26" s="14"/>
      <c r="H26" s="14"/>
    </row>
    <row r="27" spans="1:8" x14ac:dyDescent="0.25">
      <c r="A27" s="35" t="s">
        <v>61</v>
      </c>
      <c r="B27" s="36">
        <v>1.4042433660666667</v>
      </c>
      <c r="C27" s="36">
        <v>1.4042433660666667</v>
      </c>
      <c r="D27" s="36">
        <v>1.4042433660666667</v>
      </c>
      <c r="E27" s="36">
        <v>1.4042433660666667</v>
      </c>
      <c r="F27" s="36">
        <v>1.4042433660666667</v>
      </c>
      <c r="G27" s="36">
        <v>1.4042433660666667</v>
      </c>
      <c r="H27" s="14"/>
    </row>
    <row r="28" spans="1:8" x14ac:dyDescent="0.25">
      <c r="A28" s="35" t="s">
        <v>62</v>
      </c>
      <c r="B28" s="36">
        <v>1.4773597119666666</v>
      </c>
      <c r="C28" s="36">
        <v>1.4773597119666666</v>
      </c>
      <c r="D28" s="36">
        <v>1.4773597119666666</v>
      </c>
      <c r="E28" s="36">
        <v>1.4773597119666666</v>
      </c>
      <c r="F28" s="36">
        <v>1.4773597119666666</v>
      </c>
      <c r="G28" s="36">
        <v>1.4773597119666666</v>
      </c>
      <c r="H28" s="14"/>
    </row>
    <row r="29" spans="1:8" x14ac:dyDescent="0.25">
      <c r="A29" s="35" t="s">
        <v>16</v>
      </c>
      <c r="B29" s="13">
        <f>+C29+E29</f>
        <v>85025</v>
      </c>
      <c r="C29" s="13">
        <v>78777</v>
      </c>
      <c r="D29" s="13" t="s">
        <v>127</v>
      </c>
      <c r="E29" s="13">
        <v>6248</v>
      </c>
      <c r="F29" s="13"/>
      <c r="G29" s="13"/>
      <c r="H29" s="14"/>
    </row>
    <row r="30" spans="1:8" x14ac:dyDescent="0.25">
      <c r="A30" s="14"/>
      <c r="B30" s="14"/>
      <c r="C30" s="14"/>
      <c r="D30" s="14"/>
      <c r="E30" s="14"/>
      <c r="F30" s="14"/>
      <c r="G30" s="14"/>
      <c r="H30" s="14"/>
    </row>
    <row r="31" spans="1:8" x14ac:dyDescent="0.25">
      <c r="A31" s="37" t="s">
        <v>17</v>
      </c>
      <c r="B31" s="14"/>
      <c r="C31" s="14"/>
      <c r="D31" s="14"/>
      <c r="E31" s="14"/>
      <c r="F31" s="14"/>
      <c r="G31" s="14"/>
      <c r="H31" s="14"/>
    </row>
    <row r="32" spans="1:8" x14ac:dyDescent="0.25">
      <c r="A32" s="14" t="s">
        <v>63</v>
      </c>
      <c r="B32" s="12">
        <f>B16/B27</f>
        <v>16469455539.482882</v>
      </c>
      <c r="C32" s="12">
        <f>C16/C27</f>
        <v>12709255395.586977</v>
      </c>
      <c r="D32" s="12"/>
      <c r="E32" s="12">
        <f>E16/E27</f>
        <v>1189631032.8879924</v>
      </c>
      <c r="F32" s="12">
        <f>F16/F27</f>
        <v>1911096883.9153082</v>
      </c>
      <c r="G32" s="12">
        <f>G16/G27</f>
        <v>659472227.0926044</v>
      </c>
      <c r="H32" s="14"/>
    </row>
    <row r="33" spans="1:8" x14ac:dyDescent="0.25">
      <c r="A33" s="14" t="s">
        <v>64</v>
      </c>
      <c r="B33" s="12">
        <f t="shared" ref="B33:G33" si="1">B18/B28</f>
        <v>15987624652.737869</v>
      </c>
      <c r="C33" s="12">
        <f t="shared" si="1"/>
        <v>8865725320.3249454</v>
      </c>
      <c r="D33" s="12">
        <f t="shared" si="1"/>
        <v>3545570342.7272959</v>
      </c>
      <c r="E33" s="12">
        <f t="shared" si="1"/>
        <v>1125768435.9660714</v>
      </c>
      <c r="F33" s="12">
        <f t="shared" si="1"/>
        <v>1891218104.2764492</v>
      </c>
      <c r="G33" s="12">
        <f t="shared" si="1"/>
        <v>559342449.44310808</v>
      </c>
      <c r="H33" s="14"/>
    </row>
    <row r="34" spans="1:8" x14ac:dyDescent="0.25">
      <c r="A34" s="14" t="s">
        <v>65</v>
      </c>
      <c r="B34" s="12">
        <f>B32/B10</f>
        <v>185371.5117167547</v>
      </c>
      <c r="C34" s="12">
        <f>C32/C10</f>
        <v>147213.15763024642</v>
      </c>
      <c r="D34" s="12"/>
      <c r="E34" s="12">
        <f>E32/E10</f>
        <v>473327.9971702887</v>
      </c>
      <c r="F34" s="12"/>
      <c r="G34" s="12"/>
      <c r="H34" s="14"/>
    </row>
    <row r="35" spans="1:8" x14ac:dyDescent="0.25">
      <c r="A35" s="14" t="s">
        <v>66</v>
      </c>
      <c r="B35" s="12">
        <f>B33/B12</f>
        <v>174164.72017013672</v>
      </c>
      <c r="C35" s="12">
        <f>C33/C12</f>
        <v>139360.21608877473</v>
      </c>
      <c r="D35" s="12">
        <f>D33/D12</f>
        <v>139357.12170243674</v>
      </c>
      <c r="E35" s="12">
        <f>E33/E12</f>
        <v>411414.94797152077</v>
      </c>
      <c r="F35" s="12"/>
      <c r="G35" s="12"/>
      <c r="H35" s="14"/>
    </row>
    <row r="36" spans="1:8" x14ac:dyDescent="0.25">
      <c r="A36" s="14"/>
      <c r="B36" s="14"/>
      <c r="C36" s="14"/>
      <c r="D36" s="14"/>
      <c r="E36" s="14"/>
      <c r="F36" s="14"/>
      <c r="G36" s="14"/>
      <c r="H36" s="14"/>
    </row>
    <row r="37" spans="1:8" x14ac:dyDescent="0.25">
      <c r="A37" s="37" t="s">
        <v>22</v>
      </c>
      <c r="B37" s="14"/>
      <c r="C37" s="14"/>
      <c r="D37" s="14"/>
      <c r="E37" s="14"/>
      <c r="F37" s="14"/>
      <c r="G37" s="14"/>
      <c r="H37" s="14"/>
    </row>
    <row r="38" spans="1:8" x14ac:dyDescent="0.25">
      <c r="A38" s="14"/>
      <c r="B38" s="14"/>
      <c r="C38" s="14"/>
      <c r="D38" s="14"/>
      <c r="E38" s="14"/>
      <c r="F38" s="14"/>
      <c r="G38" s="14"/>
      <c r="H38" s="14"/>
    </row>
    <row r="39" spans="1:8" x14ac:dyDescent="0.25">
      <c r="A39" s="14" t="s">
        <v>23</v>
      </c>
      <c r="B39" s="14"/>
      <c r="C39" s="14"/>
      <c r="D39" s="14"/>
      <c r="E39" s="14"/>
      <c r="F39" s="14"/>
      <c r="G39" s="14"/>
      <c r="H39" s="14"/>
    </row>
    <row r="40" spans="1:8" x14ac:dyDescent="0.25">
      <c r="A40" s="14" t="s">
        <v>24</v>
      </c>
      <c r="B40" s="8">
        <f>((C40*C17+E40*E17)/(C17+E17))</f>
        <v>106.18836323119973</v>
      </c>
      <c r="C40" s="8">
        <f t="shared" ref="C40:F40" si="2">(C11)/C29*100</f>
        <v>112.00985059090851</v>
      </c>
      <c r="D40" s="8"/>
      <c r="E40" s="8">
        <f t="shared" si="2"/>
        <v>52.432778489116515</v>
      </c>
      <c r="F40" s="8" t="e">
        <f t="shared" si="2"/>
        <v>#DIV/0!</v>
      </c>
      <c r="G40" s="14"/>
      <c r="H40" s="14"/>
    </row>
    <row r="41" spans="1:8" x14ac:dyDescent="0.25">
      <c r="A41" s="14" t="s">
        <v>25</v>
      </c>
      <c r="B41" s="8">
        <f>((C41*C18+E41*E18)/(C18+E18))</f>
        <v>76.591745917433443</v>
      </c>
      <c r="C41" s="8">
        <f t="shared" ref="C41:F41" si="3">(C12)/C29*100</f>
        <v>80.75622749448867</v>
      </c>
      <c r="D41" s="8"/>
      <c r="E41" s="8">
        <f t="shared" si="3"/>
        <v>43.795347844643622</v>
      </c>
      <c r="F41" s="8" t="e">
        <f t="shared" si="3"/>
        <v>#DIV/0!</v>
      </c>
      <c r="G41" s="14"/>
      <c r="H41" s="14"/>
    </row>
    <row r="42" spans="1:8" x14ac:dyDescent="0.25">
      <c r="A42" s="14"/>
      <c r="B42" s="14"/>
      <c r="C42" s="14"/>
      <c r="D42" s="14"/>
      <c r="E42" s="14"/>
      <c r="F42" s="14"/>
      <c r="G42" s="14"/>
      <c r="H42" s="14"/>
    </row>
    <row r="43" spans="1:8" x14ac:dyDescent="0.25">
      <c r="A43" s="14" t="s">
        <v>26</v>
      </c>
      <c r="B43" s="14"/>
      <c r="C43" s="14"/>
      <c r="D43" s="14"/>
      <c r="E43" s="14"/>
      <c r="F43" s="14"/>
      <c r="G43" s="14"/>
      <c r="H43" s="14"/>
    </row>
    <row r="44" spans="1:8" x14ac:dyDescent="0.25">
      <c r="A44" s="14" t="s">
        <v>27</v>
      </c>
      <c r="B44" s="8">
        <f>B12/B11*100</f>
        <v>100.30814957274296</v>
      </c>
      <c r="C44" s="8">
        <f>(C12+D12)/C11*100</f>
        <v>100.93119366561649</v>
      </c>
      <c r="D44" s="8"/>
      <c r="E44" s="8">
        <f>E12/E11*100</f>
        <v>83.526658526658522</v>
      </c>
      <c r="F44" s="8"/>
      <c r="G44" s="14"/>
      <c r="H44" s="14"/>
    </row>
    <row r="45" spans="1:8" x14ac:dyDescent="0.25">
      <c r="A45" s="14" t="s">
        <v>28</v>
      </c>
      <c r="B45" s="8">
        <f>B18/B17*100</f>
        <v>97.485942308550364</v>
      </c>
      <c r="C45" s="8">
        <f>(C18+D18)/C17*100</f>
        <v>98.776326076463505</v>
      </c>
      <c r="D45" s="8"/>
      <c r="E45" s="8">
        <f>E18/E17*100</f>
        <v>82.732175909068289</v>
      </c>
      <c r="F45" s="8">
        <f>F18/F17*100</f>
        <v>98.768615693592892</v>
      </c>
      <c r="G45" s="8">
        <f>G18/G17*100</f>
        <v>100</v>
      </c>
      <c r="H45" s="14"/>
    </row>
    <row r="46" spans="1:8" x14ac:dyDescent="0.25">
      <c r="A46" s="14" t="s">
        <v>29</v>
      </c>
      <c r="B46" s="8">
        <f>AVERAGE(B44:B45)</f>
        <v>98.897045940646663</v>
      </c>
      <c r="C46" s="8">
        <f t="shared" ref="C46:G46" si="4">AVERAGE(C44:C45)</f>
        <v>99.853759871039998</v>
      </c>
      <c r="D46" s="8"/>
      <c r="E46" s="8">
        <f t="shared" si="4"/>
        <v>83.129417217863406</v>
      </c>
      <c r="F46" s="8">
        <f t="shared" si="4"/>
        <v>98.768615693592892</v>
      </c>
      <c r="G46" s="8">
        <f t="shared" si="4"/>
        <v>100</v>
      </c>
      <c r="H46" s="14"/>
    </row>
    <row r="47" spans="1:8" x14ac:dyDescent="0.25">
      <c r="A47" s="14"/>
      <c r="B47" s="8"/>
      <c r="C47" s="8"/>
      <c r="D47" s="8"/>
      <c r="E47" s="8"/>
      <c r="F47" s="8"/>
      <c r="G47" s="8"/>
      <c r="H47" s="14"/>
    </row>
    <row r="48" spans="1:8" x14ac:dyDescent="0.25">
      <c r="A48" s="14" t="s">
        <v>30</v>
      </c>
      <c r="B48" s="14"/>
      <c r="C48" s="14"/>
      <c r="D48" s="14"/>
      <c r="E48" s="14"/>
      <c r="F48" s="14"/>
      <c r="G48" s="14"/>
      <c r="H48" s="14"/>
    </row>
    <row r="49" spans="1:8" x14ac:dyDescent="0.25">
      <c r="A49" s="14" t="s">
        <v>31</v>
      </c>
      <c r="B49" s="8">
        <f>B12/(B13*4)*100</f>
        <v>25.097606054309431</v>
      </c>
      <c r="C49" s="8">
        <f>(C12+D12)/(C13*4)*100</f>
        <v>25.232798416404123</v>
      </c>
      <c r="D49" s="8"/>
      <c r="E49" s="8">
        <f t="shared" ref="E49" si="5">E12/(E13*4)*100</f>
        <v>21.370925752369054</v>
      </c>
      <c r="F49" s="8"/>
      <c r="G49" s="8"/>
      <c r="H49" s="14"/>
    </row>
    <row r="50" spans="1:8" x14ac:dyDescent="0.25">
      <c r="A50" s="14" t="s">
        <v>32</v>
      </c>
      <c r="B50" s="8">
        <f>B18/B19*100</f>
        <v>24.455622668592277</v>
      </c>
      <c r="C50" s="8">
        <f>(C18+D18)/C19*100</f>
        <v>24.694081519115876</v>
      </c>
      <c r="D50" s="8"/>
      <c r="E50" s="8">
        <f>E18/E19*100</f>
        <v>21.465455173526411</v>
      </c>
      <c r="F50" s="8">
        <f>F18/F19*100</f>
        <v>24.7804629294839</v>
      </c>
      <c r="G50" s="8">
        <f>G18/G19*100</f>
        <v>25</v>
      </c>
      <c r="H50" s="14"/>
    </row>
    <row r="51" spans="1:8" x14ac:dyDescent="0.25">
      <c r="A51" s="14" t="s">
        <v>33</v>
      </c>
      <c r="B51" s="8">
        <f>(B49+B50)/2</f>
        <v>24.776614361450854</v>
      </c>
      <c r="C51" s="8">
        <f t="shared" ref="C51:G51" si="6">(C49+C50)/2</f>
        <v>24.963439967759999</v>
      </c>
      <c r="D51" s="8"/>
      <c r="E51" s="8">
        <f t="shared" si="6"/>
        <v>21.418190462947734</v>
      </c>
      <c r="F51" s="8">
        <f t="shared" si="6"/>
        <v>12.39023146474195</v>
      </c>
      <c r="G51" s="8">
        <f t="shared" si="6"/>
        <v>12.5</v>
      </c>
      <c r="H51" s="14"/>
    </row>
    <row r="52" spans="1:8" x14ac:dyDescent="0.25">
      <c r="A52" s="14"/>
      <c r="B52" s="14"/>
      <c r="C52" s="14"/>
      <c r="D52" s="14"/>
      <c r="E52" s="14"/>
      <c r="F52" s="14"/>
      <c r="G52" s="14"/>
      <c r="H52" s="14"/>
    </row>
    <row r="53" spans="1:8" x14ac:dyDescent="0.25">
      <c r="A53" s="14" t="s">
        <v>100</v>
      </c>
      <c r="B53" s="14"/>
      <c r="C53" s="14"/>
      <c r="D53" s="14"/>
      <c r="E53" s="14"/>
      <c r="F53" s="14"/>
      <c r="G53" s="14"/>
      <c r="H53" s="14"/>
    </row>
    <row r="54" spans="1:8" x14ac:dyDescent="0.25">
      <c r="A54" s="14" t="s">
        <v>34</v>
      </c>
      <c r="B54" s="8">
        <f>(B20/B18)*100</f>
        <v>96.501403669448038</v>
      </c>
      <c r="C54" s="8">
        <f t="shared" ref="C54:F54" si="7">(C20/C18)*100</f>
        <v>100</v>
      </c>
      <c r="D54" s="8">
        <f t="shared" si="7"/>
        <v>100</v>
      </c>
      <c r="E54" s="8">
        <f t="shared" si="7"/>
        <v>100</v>
      </c>
      <c r="F54" s="8">
        <f t="shared" si="7"/>
        <v>100</v>
      </c>
      <c r="G54" s="8"/>
      <c r="H54" s="14"/>
    </row>
    <row r="55" spans="1:8" x14ac:dyDescent="0.25">
      <c r="A55" s="14"/>
      <c r="B55" s="14"/>
      <c r="C55" s="14"/>
      <c r="D55" s="14"/>
      <c r="E55" s="14"/>
      <c r="F55" s="14"/>
      <c r="G55" s="14"/>
      <c r="H55" s="14"/>
    </row>
    <row r="56" spans="1:8" x14ac:dyDescent="0.25">
      <c r="A56" s="14" t="s">
        <v>35</v>
      </c>
      <c r="B56" s="14"/>
      <c r="C56" s="14"/>
      <c r="D56" s="14"/>
      <c r="E56" s="14"/>
      <c r="F56" s="14"/>
      <c r="G56" s="14"/>
      <c r="H56" s="14"/>
    </row>
    <row r="57" spans="1:8" x14ac:dyDescent="0.25">
      <c r="A57" s="14" t="s">
        <v>36</v>
      </c>
      <c r="B57" s="8">
        <f>((B12/B10)-1)*100</f>
        <v>3.3207397096838509</v>
      </c>
      <c r="C57" s="8">
        <f>(((C12+D12)/C10)-1)*100</f>
        <v>3.1591099510805298</v>
      </c>
      <c r="D57" s="8"/>
      <c r="E57" s="8">
        <f>((E12/E10)-1)*100</f>
        <v>8.8726790450928341</v>
      </c>
      <c r="F57" s="8"/>
      <c r="G57" s="8"/>
      <c r="H57" s="14"/>
    </row>
    <row r="58" spans="1:8" x14ac:dyDescent="0.25">
      <c r="A58" s="14" t="s">
        <v>37</v>
      </c>
      <c r="B58" s="8">
        <f>((B33/B32)-1)*100</f>
        <v>-2.9256030084898632</v>
      </c>
      <c r="C58" s="8">
        <f>(((C33+D33)/C32)-1)*100</f>
        <v>-2.3444310721633221</v>
      </c>
      <c r="D58" s="8"/>
      <c r="E58" s="8">
        <f t="shared" ref="E58:G58" si="8">((E33/E32)-1)*100</f>
        <v>-5.3682692495744533</v>
      </c>
      <c r="F58" s="8">
        <f t="shared" si="8"/>
        <v>-1.0401764455883034</v>
      </c>
      <c r="G58" s="8">
        <f t="shared" si="8"/>
        <v>-15.183319863360357</v>
      </c>
      <c r="H58" s="14"/>
    </row>
    <row r="59" spans="1:8" x14ac:dyDescent="0.25">
      <c r="A59" s="14" t="s">
        <v>38</v>
      </c>
      <c r="B59" s="8">
        <f>((B35/B34)-1)*100</f>
        <v>-6.045584590010689</v>
      </c>
      <c r="C59" s="8">
        <f>(((C35+D35)/(C34*2))-1)*100</f>
        <v>-5.3354529317065076</v>
      </c>
      <c r="D59" s="8"/>
      <c r="E59" s="8">
        <f t="shared" ref="E59" si="9">((E35/E34)-1)*100</f>
        <v>-13.080369124350266</v>
      </c>
      <c r="F59" s="8"/>
      <c r="G59" s="8"/>
      <c r="H59" s="14"/>
    </row>
    <row r="60" spans="1:8" x14ac:dyDescent="0.25">
      <c r="A60" s="14"/>
      <c r="B60" s="8"/>
      <c r="C60" s="8"/>
      <c r="D60" s="8"/>
      <c r="E60" s="8"/>
      <c r="F60" s="8"/>
      <c r="G60" s="8"/>
      <c r="H60" s="14"/>
    </row>
    <row r="61" spans="1:8" x14ac:dyDescent="0.25">
      <c r="A61" s="14" t="s">
        <v>39</v>
      </c>
      <c r="B61" s="14"/>
      <c r="C61" s="14"/>
      <c r="D61" s="14"/>
      <c r="E61" s="14"/>
      <c r="F61" s="14"/>
      <c r="G61" s="14"/>
      <c r="H61" s="14"/>
    </row>
    <row r="62" spans="1:8" x14ac:dyDescent="0.25">
      <c r="A62" s="14" t="s">
        <v>101</v>
      </c>
      <c r="B62" s="12">
        <f>B17/(B11*3)</f>
        <v>88250.953832473722</v>
      </c>
      <c r="C62" s="12">
        <f t="shared" ref="C62:E63" si="10">C17/(C11*3)</f>
        <v>70125.116163104336</v>
      </c>
      <c r="D62" s="12"/>
      <c r="E62" s="12">
        <f t="shared" si="10"/>
        <v>204548.22954822954</v>
      </c>
      <c r="F62" s="12"/>
      <c r="G62" s="12"/>
      <c r="H62" s="14"/>
    </row>
    <row r="63" spans="1:8" x14ac:dyDescent="0.25">
      <c r="A63" s="14" t="s">
        <v>102</v>
      </c>
      <c r="B63" s="12">
        <f>B18/(B12*3)</f>
        <v>85767.980275102746</v>
      </c>
      <c r="C63" s="12">
        <f>(C18+D18)/(C12*3)</f>
        <v>96074.173631400234</v>
      </c>
      <c r="D63" s="12"/>
      <c r="E63" s="12">
        <f t="shared" si="10"/>
        <v>202602.62301132904</v>
      </c>
      <c r="F63" s="12"/>
      <c r="G63" s="12"/>
      <c r="H63" s="14"/>
    </row>
    <row r="64" spans="1:8" x14ac:dyDescent="0.25">
      <c r="A64" s="14" t="s">
        <v>40</v>
      </c>
      <c r="B64" s="8">
        <f>(B62/B63)*B46</f>
        <v>101.76010449915643</v>
      </c>
      <c r="C64" s="8">
        <f t="shared" ref="C64:E64" si="11">(C62/C63)*C46</f>
        <v>72.883858852061323</v>
      </c>
      <c r="D64" s="8"/>
      <c r="E64" s="8">
        <f t="shared" si="11"/>
        <v>83.927714570305682</v>
      </c>
      <c r="F64" s="8"/>
      <c r="G64" s="8"/>
      <c r="H64" s="14"/>
    </row>
    <row r="65" spans="1:8" x14ac:dyDescent="0.25">
      <c r="A65" s="8" t="s">
        <v>103</v>
      </c>
      <c r="B65" s="12">
        <f>B17/B11</f>
        <v>264752.86149742117</v>
      </c>
      <c r="C65" s="12">
        <f t="shared" ref="C65:E66" si="12">C17/C11</f>
        <v>210375.34848931301</v>
      </c>
      <c r="D65" s="12"/>
      <c r="E65" s="12">
        <f t="shared" si="12"/>
        <v>613644.68864468869</v>
      </c>
      <c r="F65" s="8"/>
      <c r="G65" s="8"/>
      <c r="H65" s="14"/>
    </row>
    <row r="66" spans="1:8" x14ac:dyDescent="0.25">
      <c r="A66" s="8" t="s">
        <v>104</v>
      </c>
      <c r="B66" s="12">
        <f>B18/B12</f>
        <v>257303.94082530824</v>
      </c>
      <c r="C66" s="12">
        <f>(C18+D18)/C12</f>
        <v>288222.52089420072</v>
      </c>
      <c r="D66" s="12"/>
      <c r="E66" s="12">
        <f t="shared" si="12"/>
        <v>607807.86903398705</v>
      </c>
      <c r="F66" s="8"/>
      <c r="G66" s="8"/>
      <c r="H66" s="14"/>
    </row>
    <row r="67" spans="1:8" x14ac:dyDescent="0.25">
      <c r="A67" s="14"/>
      <c r="B67" s="8"/>
      <c r="C67" s="8"/>
      <c r="D67" s="8"/>
      <c r="E67" s="8"/>
      <c r="F67" s="8"/>
      <c r="G67" s="8"/>
      <c r="H67" s="14"/>
    </row>
    <row r="68" spans="1:8" x14ac:dyDescent="0.25">
      <c r="A68" s="14" t="s">
        <v>41</v>
      </c>
      <c r="B68" s="8"/>
      <c r="C68" s="8"/>
      <c r="D68" s="8"/>
      <c r="E68" s="8"/>
      <c r="F68" s="8"/>
      <c r="G68" s="8"/>
      <c r="H68" s="14"/>
    </row>
    <row r="69" spans="1:8" x14ac:dyDescent="0.25">
      <c r="A69" s="14" t="s">
        <v>42</v>
      </c>
      <c r="B69" s="8">
        <f>(B24/B23)*100</f>
        <v>102.53514174603175</v>
      </c>
      <c r="C69" s="8"/>
      <c r="D69" s="8"/>
      <c r="E69" s="8"/>
      <c r="F69" s="8"/>
      <c r="G69" s="8"/>
      <c r="H69" s="14"/>
    </row>
    <row r="70" spans="1:8" x14ac:dyDescent="0.25">
      <c r="A70" s="14" t="s">
        <v>43</v>
      </c>
      <c r="B70" s="8">
        <f>(B18/B24)*100</f>
        <v>95.075640066907312</v>
      </c>
      <c r="C70" s="8"/>
      <c r="D70" s="8"/>
      <c r="E70" s="8"/>
      <c r="F70" s="8"/>
      <c r="G70" s="8"/>
      <c r="H70" s="14"/>
    </row>
    <row r="71" spans="1:8" ht="15.75" thickBot="1" x14ac:dyDescent="0.3">
      <c r="A71" s="38"/>
      <c r="B71" s="38"/>
      <c r="C71" s="38"/>
      <c r="D71" s="38"/>
      <c r="E71" s="38"/>
      <c r="F71" s="38"/>
      <c r="G71" s="38"/>
      <c r="H71" s="14"/>
    </row>
    <row r="72" spans="1:8" ht="15.75" thickTop="1" x14ac:dyDescent="0.25">
      <c r="A72" s="14"/>
      <c r="B72" s="14"/>
      <c r="C72" s="14"/>
      <c r="D72" s="14"/>
      <c r="E72" s="14"/>
      <c r="F72" s="14"/>
      <c r="G72" s="14"/>
      <c r="H72" s="14"/>
    </row>
    <row r="73" spans="1:8" x14ac:dyDescent="0.25">
      <c r="A73" s="14" t="s">
        <v>55</v>
      </c>
      <c r="B73" s="14"/>
      <c r="C73" s="14"/>
      <c r="D73" s="14"/>
      <c r="E73" s="14"/>
      <c r="F73" s="14"/>
      <c r="G73" s="14"/>
      <c r="H73" s="14"/>
    </row>
    <row r="74" spans="1:8" x14ac:dyDescent="0.25">
      <c r="A74" s="1" t="s">
        <v>116</v>
      </c>
    </row>
    <row r="75" spans="1:8" x14ac:dyDescent="0.25">
      <c r="A75" s="1" t="s">
        <v>117</v>
      </c>
      <c r="B75" s="9"/>
      <c r="C75" s="9"/>
      <c r="D75" s="9"/>
      <c r="E75" s="9"/>
    </row>
    <row r="76" spans="1:8" x14ac:dyDescent="0.25">
      <c r="A76" s="1" t="s">
        <v>118</v>
      </c>
    </row>
    <row r="78" spans="1:8" x14ac:dyDescent="0.25">
      <c r="A78" s="1" t="s">
        <v>119</v>
      </c>
    </row>
    <row r="79" spans="1:8" x14ac:dyDescent="0.25">
      <c r="A79" s="1" t="s">
        <v>121</v>
      </c>
    </row>
    <row r="80" spans="1:8" x14ac:dyDescent="0.25">
      <c r="A80" s="1" t="s">
        <v>120</v>
      </c>
    </row>
    <row r="81" spans="1:1" x14ac:dyDescent="0.25">
      <c r="A81" s="1" t="s">
        <v>122</v>
      </c>
    </row>
    <row r="82" spans="1:1" x14ac:dyDescent="0.25">
      <c r="A82" s="16" t="s">
        <v>123</v>
      </c>
    </row>
    <row r="83" spans="1:1" x14ac:dyDescent="0.25">
      <c r="A83" s="16" t="s">
        <v>124</v>
      </c>
    </row>
  </sheetData>
  <mergeCells count="7">
    <mergeCell ref="A2:G2"/>
    <mergeCell ref="A4:A5"/>
    <mergeCell ref="B4:B5"/>
    <mergeCell ref="C4:E4"/>
    <mergeCell ref="F4:F5"/>
    <mergeCell ref="G4:G5"/>
    <mergeCell ref="C5:D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5"/>
  <sheetViews>
    <sheetView topLeftCell="A91" workbookViewId="0">
      <selection activeCell="G104" sqref="G104"/>
    </sheetView>
  </sheetViews>
  <sheetFormatPr baseColWidth="10" defaultRowHeight="15" x14ac:dyDescent="0.25"/>
  <cols>
    <col min="1" max="1" width="55.140625" style="1" customWidth="1"/>
    <col min="2" max="2" width="16.140625" style="1" customWidth="1"/>
    <col min="3" max="3" width="17" style="1" bestFit="1" customWidth="1"/>
    <col min="4" max="4" width="17" style="1" customWidth="1"/>
    <col min="5" max="5" width="16.42578125" style="1" bestFit="1" customWidth="1"/>
    <col min="6" max="6" width="14.7109375" style="1" bestFit="1" customWidth="1"/>
    <col min="7" max="7" width="17.5703125" style="1" bestFit="1" customWidth="1"/>
    <col min="8" max="16384" width="11.42578125" style="1"/>
  </cols>
  <sheetData>
    <row r="2" spans="1:7" ht="15.75" x14ac:dyDescent="0.25">
      <c r="A2" s="49" t="s">
        <v>67</v>
      </c>
      <c r="B2" s="49"/>
      <c r="C2" s="49"/>
      <c r="D2" s="49"/>
      <c r="E2" s="49"/>
      <c r="F2" s="49"/>
      <c r="G2" s="49"/>
    </row>
    <row r="3" spans="1:7" x14ac:dyDescent="0.25">
      <c r="A3" s="14"/>
      <c r="B3" s="14"/>
      <c r="C3" s="14"/>
      <c r="D3" s="14"/>
      <c r="E3" s="14"/>
      <c r="F3" s="14"/>
      <c r="G3" s="14"/>
    </row>
    <row r="4" spans="1:7" x14ac:dyDescent="0.25">
      <c r="A4" s="50" t="s">
        <v>1</v>
      </c>
      <c r="B4" s="50" t="s">
        <v>105</v>
      </c>
      <c r="C4" s="51" t="s">
        <v>2</v>
      </c>
      <c r="D4" s="51"/>
      <c r="E4" s="51"/>
      <c r="F4" s="50" t="s">
        <v>3</v>
      </c>
      <c r="G4" s="50" t="s">
        <v>4</v>
      </c>
    </row>
    <row r="5" spans="1:7" ht="15.75" thickBot="1" x14ac:dyDescent="0.3">
      <c r="A5" s="52"/>
      <c r="B5" s="52"/>
      <c r="C5" s="53" t="s">
        <v>106</v>
      </c>
      <c r="D5" s="53"/>
      <c r="E5" s="54" t="s">
        <v>107</v>
      </c>
      <c r="F5" s="52"/>
      <c r="G5" s="52"/>
    </row>
    <row r="6" spans="1:7" ht="15.75" thickTop="1" x14ac:dyDescent="0.25">
      <c r="A6" s="14"/>
      <c r="B6" s="14"/>
      <c r="C6" s="55" t="s">
        <v>126</v>
      </c>
      <c r="D6" s="55" t="s">
        <v>125</v>
      </c>
      <c r="E6" s="14"/>
      <c r="F6" s="14"/>
      <c r="G6" s="14"/>
    </row>
    <row r="7" spans="1:7" x14ac:dyDescent="0.25">
      <c r="A7" s="37" t="s">
        <v>5</v>
      </c>
      <c r="B7" s="14"/>
      <c r="C7" s="14"/>
      <c r="D7" s="14"/>
      <c r="E7" s="14"/>
      <c r="F7" s="14"/>
      <c r="G7" s="14"/>
    </row>
    <row r="8" spans="1:7" x14ac:dyDescent="0.25">
      <c r="A8" s="14"/>
      <c r="B8" s="14"/>
      <c r="C8" s="14"/>
      <c r="D8" s="14"/>
      <c r="E8" s="14"/>
      <c r="F8" s="14"/>
      <c r="G8" s="14"/>
    </row>
    <row r="9" spans="1:7" x14ac:dyDescent="0.25">
      <c r="A9" s="14" t="s">
        <v>114</v>
      </c>
      <c r="B9" s="14"/>
      <c r="C9" s="14"/>
      <c r="D9" s="14"/>
      <c r="E9" s="14"/>
      <c r="F9" s="14"/>
      <c r="G9" s="14"/>
    </row>
    <row r="10" spans="1:7" x14ac:dyDescent="0.25">
      <c r="A10" s="35" t="s">
        <v>68</v>
      </c>
      <c r="B10" s="12">
        <f>SUM(C10:G10)</f>
        <v>89889</v>
      </c>
      <c r="C10" s="12">
        <v>87346.666666666672</v>
      </c>
      <c r="D10" s="12"/>
      <c r="E10" s="12">
        <v>2542.3333333333335</v>
      </c>
      <c r="F10" s="12"/>
      <c r="G10" s="14"/>
    </row>
    <row r="11" spans="1:7" x14ac:dyDescent="0.25">
      <c r="A11" s="35" t="s">
        <v>69</v>
      </c>
      <c r="B11" s="12">
        <f t="shared" ref="B11:B13" si="0">SUM(C11:G11)</f>
        <v>91664</v>
      </c>
      <c r="C11" s="12">
        <v>88238</v>
      </c>
      <c r="D11" s="12"/>
      <c r="E11" s="12">
        <v>3426</v>
      </c>
      <c r="F11" s="12"/>
      <c r="G11" s="14"/>
    </row>
    <row r="12" spans="1:7" x14ac:dyDescent="0.25">
      <c r="A12" s="35" t="s">
        <v>70</v>
      </c>
      <c r="B12" s="12">
        <f t="shared" si="0"/>
        <v>92570</v>
      </c>
      <c r="C12" s="12">
        <v>64181.333333333336</v>
      </c>
      <c r="D12" s="12">
        <v>25590.333333333332</v>
      </c>
      <c r="E12" s="12">
        <v>2798.3333333333335</v>
      </c>
      <c r="F12" s="12"/>
      <c r="G12" s="14"/>
    </row>
    <row r="13" spans="1:7" x14ac:dyDescent="0.25">
      <c r="A13" s="35" t="s">
        <v>9</v>
      </c>
      <c r="B13" s="12">
        <f t="shared" si="0"/>
        <v>91439</v>
      </c>
      <c r="C13" s="12">
        <v>88238</v>
      </c>
      <c r="D13" s="12"/>
      <c r="E13" s="12">
        <v>3201</v>
      </c>
      <c r="F13" s="12"/>
      <c r="G13" s="14"/>
    </row>
    <row r="14" spans="1:7" x14ac:dyDescent="0.25">
      <c r="A14" s="14"/>
      <c r="B14" s="14"/>
      <c r="C14" s="14"/>
      <c r="D14" s="14"/>
      <c r="E14" s="14"/>
      <c r="F14" s="14"/>
      <c r="G14" s="14"/>
    </row>
    <row r="15" spans="1:7" x14ac:dyDescent="0.25">
      <c r="A15" s="34" t="s">
        <v>10</v>
      </c>
      <c r="B15" s="14"/>
      <c r="C15" s="14"/>
      <c r="D15" s="14"/>
      <c r="E15" s="14"/>
      <c r="F15" s="14"/>
      <c r="G15" s="14"/>
    </row>
    <row r="16" spans="1:7" x14ac:dyDescent="0.25">
      <c r="A16" s="35" t="s">
        <v>68</v>
      </c>
      <c r="B16" s="12">
        <f>SUM(C16:G16)</f>
        <v>30246607483.930004</v>
      </c>
      <c r="C16" s="12">
        <v>24129358191.712631</v>
      </c>
      <c r="D16" s="12"/>
      <c r="E16" s="12">
        <v>2258122465.5873713</v>
      </c>
      <c r="F16" s="12">
        <v>2715127326.6300001</v>
      </c>
      <c r="G16" s="12">
        <v>1143999500</v>
      </c>
    </row>
    <row r="17" spans="1:7" x14ac:dyDescent="0.25">
      <c r="A17" s="35" t="s">
        <v>69</v>
      </c>
      <c r="B17" s="12">
        <f t="shared" ref="B17:B20" si="1">SUM(C17:G17)</f>
        <v>31142450022.080002</v>
      </c>
      <c r="C17" s="12">
        <v>24679477741.162807</v>
      </c>
      <c r="D17" s="12"/>
      <c r="E17" s="12">
        <v>2795122258.8371925</v>
      </c>
      <c r="F17" s="12">
        <v>2841500022.0799999</v>
      </c>
      <c r="G17" s="11">
        <v>826350000</v>
      </c>
    </row>
    <row r="18" spans="1:7" x14ac:dyDescent="0.25">
      <c r="A18" s="35" t="s">
        <v>70</v>
      </c>
      <c r="B18" s="12">
        <f t="shared" si="1"/>
        <v>31321551363.699997</v>
      </c>
      <c r="C18" s="12">
        <v>17579414538.912331</v>
      </c>
      <c r="D18" s="12">
        <v>7011866694.1638031</v>
      </c>
      <c r="E18" s="12">
        <v>2286924937.3238626</v>
      </c>
      <c r="F18" s="12">
        <v>3616995193.3000002</v>
      </c>
      <c r="G18" s="11">
        <v>826350000</v>
      </c>
    </row>
    <row r="19" spans="1:7" x14ac:dyDescent="0.25">
      <c r="A19" s="35" t="s">
        <v>9</v>
      </c>
      <c r="B19" s="12">
        <f t="shared" si="1"/>
        <v>96580949387.699997</v>
      </c>
      <c r="C19" s="12">
        <v>74252400000</v>
      </c>
      <c r="D19" s="12"/>
      <c r="E19" s="12">
        <v>7748100000</v>
      </c>
      <c r="F19" s="12">
        <v>11275049387.700001</v>
      </c>
      <c r="G19" s="11">
        <v>3305400000</v>
      </c>
    </row>
    <row r="20" spans="1:7" x14ac:dyDescent="0.25">
      <c r="A20" s="35" t="s">
        <v>71</v>
      </c>
      <c r="B20" s="12">
        <f t="shared" si="1"/>
        <v>30495201363.699997</v>
      </c>
      <c r="C20" s="12">
        <f>C18</f>
        <v>17579414538.912331</v>
      </c>
      <c r="D20" s="12">
        <f>D18</f>
        <v>7011866694.1638031</v>
      </c>
      <c r="E20" s="12">
        <f t="shared" ref="E20:F20" si="2">E18</f>
        <v>2286924937.3238626</v>
      </c>
      <c r="F20" s="12">
        <f t="shared" si="2"/>
        <v>3616995193.3000002</v>
      </c>
      <c r="G20" s="12"/>
    </row>
    <row r="21" spans="1:7" x14ac:dyDescent="0.25">
      <c r="A21" s="14"/>
      <c r="B21" s="12"/>
      <c r="C21" s="12"/>
      <c r="D21" s="12"/>
      <c r="E21" s="12"/>
      <c r="F21" s="12"/>
      <c r="G21" s="14"/>
    </row>
    <row r="22" spans="1:7" x14ac:dyDescent="0.25">
      <c r="A22" s="34" t="s">
        <v>12</v>
      </c>
      <c r="B22" s="12"/>
      <c r="C22" s="12"/>
      <c r="D22" s="12"/>
      <c r="E22" s="12"/>
      <c r="F22" s="12"/>
      <c r="G22" s="12"/>
    </row>
    <row r="23" spans="1:7" x14ac:dyDescent="0.25">
      <c r="A23" s="35" t="s">
        <v>69</v>
      </c>
      <c r="B23" s="12">
        <f>B17</f>
        <v>31142450022.080002</v>
      </c>
      <c r="C23" s="12"/>
      <c r="D23" s="12"/>
      <c r="E23" s="12"/>
      <c r="F23" s="12"/>
      <c r="G23" s="12"/>
    </row>
    <row r="24" spans="1:7" x14ac:dyDescent="0.25">
      <c r="A24" s="35" t="s">
        <v>70</v>
      </c>
      <c r="B24" s="12">
        <f>8548836681.6+3322972326.8+10483492355.2</f>
        <v>22355301363.600002</v>
      </c>
      <c r="C24" s="12"/>
      <c r="D24" s="12"/>
      <c r="E24" s="12"/>
      <c r="F24" s="12"/>
      <c r="G24" s="12"/>
    </row>
    <row r="25" spans="1:7" x14ac:dyDescent="0.25">
      <c r="A25" s="14"/>
      <c r="B25" s="14"/>
      <c r="C25" s="14"/>
      <c r="D25" s="14"/>
      <c r="E25" s="14"/>
      <c r="F25" s="14"/>
      <c r="G25" s="14"/>
    </row>
    <row r="26" spans="1:7" x14ac:dyDescent="0.25">
      <c r="A26" s="14" t="s">
        <v>13</v>
      </c>
      <c r="B26" s="14"/>
      <c r="C26" s="14"/>
      <c r="D26" s="14"/>
      <c r="E26" s="14"/>
      <c r="F26" s="14"/>
      <c r="G26" s="14"/>
    </row>
    <row r="27" spans="1:7" x14ac:dyDescent="0.25">
      <c r="A27" s="35" t="s">
        <v>72</v>
      </c>
      <c r="B27" s="36">
        <v>1.42</v>
      </c>
      <c r="C27" s="36">
        <v>1.42</v>
      </c>
      <c r="D27" s="36">
        <v>1.42</v>
      </c>
      <c r="E27" s="36">
        <v>1.42</v>
      </c>
      <c r="F27" s="36">
        <v>1.42</v>
      </c>
      <c r="G27" s="36">
        <v>1.42</v>
      </c>
    </row>
    <row r="28" spans="1:7" x14ac:dyDescent="0.25">
      <c r="A28" s="35" t="s">
        <v>73</v>
      </c>
      <c r="B28" s="36">
        <v>1.49</v>
      </c>
      <c r="C28" s="36">
        <v>1.49</v>
      </c>
      <c r="D28" s="36">
        <v>1.49</v>
      </c>
      <c r="E28" s="36">
        <v>1.49</v>
      </c>
      <c r="F28" s="36">
        <v>1.49</v>
      </c>
      <c r="G28" s="36">
        <v>1.49</v>
      </c>
    </row>
    <row r="29" spans="1:7" x14ac:dyDescent="0.25">
      <c r="A29" s="35" t="s">
        <v>16</v>
      </c>
      <c r="B29" s="13">
        <f>+C29+E29</f>
        <v>85025</v>
      </c>
      <c r="C29" s="13">
        <v>78777</v>
      </c>
      <c r="D29" s="13" t="s">
        <v>127</v>
      </c>
      <c r="E29" s="13">
        <v>6248</v>
      </c>
      <c r="F29" s="13"/>
      <c r="G29" s="13"/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37" t="s">
        <v>17</v>
      </c>
      <c r="B31" s="14"/>
      <c r="C31" s="14"/>
      <c r="D31" s="14"/>
      <c r="E31" s="14"/>
      <c r="F31" s="14"/>
      <c r="G31" s="14"/>
    </row>
    <row r="32" spans="1:7" x14ac:dyDescent="0.25">
      <c r="A32" s="14" t="s">
        <v>74</v>
      </c>
      <c r="B32" s="12">
        <f>B16/B27</f>
        <v>21300427805.584511</v>
      </c>
      <c r="C32" s="12">
        <f t="shared" ref="C32:G32" si="3">C16/C27</f>
        <v>16992505768.811712</v>
      </c>
      <c r="D32" s="12"/>
      <c r="E32" s="12">
        <f t="shared" si="3"/>
        <v>1590227088.4418108</v>
      </c>
      <c r="F32" s="12">
        <f t="shared" si="3"/>
        <v>1912061497.6267607</v>
      </c>
      <c r="G32" s="12">
        <f t="shared" si="3"/>
        <v>805633450.70422542</v>
      </c>
    </row>
    <row r="33" spans="1:7" x14ac:dyDescent="0.25">
      <c r="A33" s="14" t="s">
        <v>75</v>
      </c>
      <c r="B33" s="12">
        <f>B18/B28</f>
        <v>21021175411.879192</v>
      </c>
      <c r="C33" s="12">
        <f t="shared" ref="C33:G33" si="4">C18/C28</f>
        <v>11798264791.21633</v>
      </c>
      <c r="D33" s="12">
        <f t="shared" si="4"/>
        <v>4705950801.4522171</v>
      </c>
      <c r="E33" s="12">
        <f t="shared" si="4"/>
        <v>1534848951.2240689</v>
      </c>
      <c r="F33" s="12">
        <f t="shared" si="4"/>
        <v>2427513552.5503359</v>
      </c>
      <c r="G33" s="12">
        <f t="shared" si="4"/>
        <v>554597315.43624163</v>
      </c>
    </row>
    <row r="34" spans="1:7" x14ac:dyDescent="0.25">
      <c r="A34" s="14" t="s">
        <v>76</v>
      </c>
      <c r="B34" s="12">
        <f>B32/B10</f>
        <v>236963.67526153935</v>
      </c>
      <c r="C34" s="12">
        <f t="shared" ref="C34:E34" si="5">C32/C10</f>
        <v>194540.97582977841</v>
      </c>
      <c r="D34" s="12"/>
      <c r="E34" s="12">
        <f t="shared" si="5"/>
        <v>625499.05143902346</v>
      </c>
      <c r="F34" s="12"/>
      <c r="G34" s="12"/>
    </row>
    <row r="35" spans="1:7" x14ac:dyDescent="0.25">
      <c r="A35" s="14" t="s">
        <v>77</v>
      </c>
      <c r="B35" s="12">
        <f>B33/B12</f>
        <v>227084.10296941982</v>
      </c>
      <c r="C35" s="12">
        <f t="shared" ref="C35:E35" si="6">C33/C12</f>
        <v>183827.04407122001</v>
      </c>
      <c r="D35" s="12">
        <f t="shared" si="6"/>
        <v>183895.64294273427</v>
      </c>
      <c r="E35" s="12">
        <f t="shared" si="6"/>
        <v>548486.81997286552</v>
      </c>
      <c r="F35" s="12"/>
      <c r="G35" s="12"/>
    </row>
    <row r="36" spans="1:7" x14ac:dyDescent="0.25">
      <c r="A36" s="14"/>
      <c r="B36" s="14"/>
      <c r="C36" s="14"/>
      <c r="D36" s="14"/>
      <c r="E36" s="14"/>
      <c r="F36" s="14"/>
      <c r="G36" s="14"/>
    </row>
    <row r="37" spans="1:7" x14ac:dyDescent="0.25">
      <c r="A37" s="37" t="s">
        <v>22</v>
      </c>
      <c r="B37" s="14"/>
      <c r="C37" s="14"/>
      <c r="D37" s="14"/>
      <c r="E37" s="14"/>
      <c r="F37" s="14"/>
      <c r="G37" s="14"/>
    </row>
    <row r="38" spans="1:7" x14ac:dyDescent="0.25">
      <c r="A38" s="14"/>
      <c r="B38" s="14"/>
      <c r="C38" s="14"/>
      <c r="D38" s="14"/>
      <c r="E38" s="14"/>
      <c r="F38" s="14"/>
      <c r="G38" s="14"/>
    </row>
    <row r="39" spans="1:7" x14ac:dyDescent="0.25">
      <c r="A39" s="14" t="s">
        <v>23</v>
      </c>
      <c r="B39" s="14"/>
      <c r="C39" s="14"/>
      <c r="D39" s="14"/>
      <c r="E39" s="14"/>
      <c r="F39" s="14"/>
      <c r="G39" s="14"/>
    </row>
    <row r="40" spans="1:7" x14ac:dyDescent="0.25">
      <c r="A40" s="14" t="s">
        <v>24</v>
      </c>
      <c r="B40" s="8">
        <f>((C40*C17+E40*E17)/(C17+E17))</f>
        <v>106.19303216276711</v>
      </c>
      <c r="C40" s="8">
        <f t="shared" ref="C40:F40" si="7">(C11)/C29*100</f>
        <v>112.00985059090851</v>
      </c>
      <c r="D40" s="8"/>
      <c r="E40" s="8">
        <f t="shared" si="7"/>
        <v>54.833546734955185</v>
      </c>
      <c r="F40" s="8" t="e">
        <f t="shared" si="7"/>
        <v>#DIV/0!</v>
      </c>
      <c r="G40" s="14"/>
    </row>
    <row r="41" spans="1:7" x14ac:dyDescent="0.25">
      <c r="A41" s="14" t="s">
        <v>25</v>
      </c>
      <c r="B41" s="8">
        <f>((C41*C18+E41*E18)/(C18+E18))</f>
        <v>77.249214658920351</v>
      </c>
      <c r="C41" s="8">
        <f t="shared" ref="C41:F41" si="8">(C12)/C29*100</f>
        <v>81.472172503818797</v>
      </c>
      <c r="D41" s="8"/>
      <c r="E41" s="8">
        <f t="shared" si="8"/>
        <v>44.787665386256933</v>
      </c>
      <c r="F41" s="8" t="e">
        <f t="shared" si="8"/>
        <v>#DIV/0!</v>
      </c>
      <c r="G41" s="14"/>
    </row>
    <row r="42" spans="1:7" x14ac:dyDescent="0.25">
      <c r="A42" s="14"/>
      <c r="B42" s="14"/>
      <c r="C42" s="14"/>
      <c r="D42" s="14"/>
      <c r="E42" s="14"/>
      <c r="F42" s="14"/>
      <c r="G42" s="14"/>
    </row>
    <row r="43" spans="1:7" x14ac:dyDescent="0.25">
      <c r="A43" s="14" t="s">
        <v>26</v>
      </c>
      <c r="B43" s="14"/>
      <c r="C43" s="14"/>
      <c r="D43" s="14"/>
      <c r="E43" s="14"/>
      <c r="F43" s="14"/>
      <c r="G43" s="14"/>
    </row>
    <row r="44" spans="1:7" x14ac:dyDescent="0.25">
      <c r="A44" s="14" t="s">
        <v>27</v>
      </c>
      <c r="B44" s="8">
        <f>B12/B11*100</f>
        <v>100.98839238959678</v>
      </c>
      <c r="C44" s="8">
        <f>(C12+D12)/C11*100</f>
        <v>101.7381022537531</v>
      </c>
      <c r="D44" s="8"/>
      <c r="E44" s="8">
        <f>E12/E11*100</f>
        <v>81.679315041836944</v>
      </c>
      <c r="F44" s="8"/>
      <c r="G44" s="14"/>
    </row>
    <row r="45" spans="1:7" x14ac:dyDescent="0.25">
      <c r="A45" s="14" t="s">
        <v>28</v>
      </c>
      <c r="B45" s="8">
        <f>B18/B17*100</f>
        <v>100.57510356922148</v>
      </c>
      <c r="C45" s="8">
        <f>(C18+D18)/C17*100</f>
        <v>99.642632194199265</v>
      </c>
      <c r="D45" s="8"/>
      <c r="E45" s="8">
        <f>E18/E17*100</f>
        <v>81.818422435491371</v>
      </c>
      <c r="F45" s="8">
        <f>F18/F17*100</f>
        <v>127.29175313017707</v>
      </c>
      <c r="G45" s="8">
        <f>G18/G17*100</f>
        <v>100</v>
      </c>
    </row>
    <row r="46" spans="1:7" x14ac:dyDescent="0.25">
      <c r="A46" s="14" t="s">
        <v>29</v>
      </c>
      <c r="B46" s="8">
        <f>AVERAGE(B44:B45)</f>
        <v>100.78174797940913</v>
      </c>
      <c r="C46" s="8">
        <f t="shared" ref="C46:G46" si="9">AVERAGE(C44:C45)</f>
        <v>100.69036722397618</v>
      </c>
      <c r="D46" s="8"/>
      <c r="E46" s="8">
        <f t="shared" si="9"/>
        <v>81.748868738664157</v>
      </c>
      <c r="F46" s="8">
        <f t="shared" si="9"/>
        <v>127.29175313017707</v>
      </c>
      <c r="G46" s="8">
        <f t="shared" si="9"/>
        <v>100</v>
      </c>
    </row>
    <row r="47" spans="1:7" x14ac:dyDescent="0.25">
      <c r="A47" s="14"/>
      <c r="B47" s="8"/>
      <c r="C47" s="8"/>
      <c r="D47" s="8"/>
      <c r="E47" s="8"/>
      <c r="F47" s="8"/>
      <c r="G47" s="8"/>
    </row>
    <row r="48" spans="1:7" x14ac:dyDescent="0.25">
      <c r="A48" s="14" t="s">
        <v>30</v>
      </c>
      <c r="B48" s="14"/>
      <c r="C48" s="14"/>
      <c r="D48" s="14"/>
      <c r="E48" s="14"/>
      <c r="F48" s="14"/>
      <c r="G48" s="14"/>
    </row>
    <row r="49" spans="1:7" x14ac:dyDescent="0.25">
      <c r="A49" s="14" t="s">
        <v>31</v>
      </c>
      <c r="B49" s="8">
        <f>B12/(B13*4)*100</f>
        <v>25.309222541803827</v>
      </c>
      <c r="C49" s="8">
        <f>(C12+D12)/(C13*4)*100</f>
        <v>25.434525563438275</v>
      </c>
      <c r="D49" s="8"/>
      <c r="E49" s="8">
        <f t="shared" ref="E49" si="10">E12/(E13*4)*100</f>
        <v>21.85514943246902</v>
      </c>
      <c r="F49" s="8"/>
      <c r="G49" s="8"/>
    </row>
    <row r="50" spans="1:7" x14ac:dyDescent="0.25">
      <c r="A50" s="14" t="s">
        <v>32</v>
      </c>
      <c r="B50" s="8">
        <f>B18/B19*100</f>
        <v>32.430361849071794</v>
      </c>
      <c r="C50" s="8">
        <f>(C18+D18)/C19*100</f>
        <v>33.118500187301869</v>
      </c>
      <c r="D50" s="8"/>
      <c r="E50" s="8">
        <f>E18/E19*100</f>
        <v>29.515945035865084</v>
      </c>
      <c r="F50" s="8">
        <f>F18/F19*100</f>
        <v>32.079639466996888</v>
      </c>
      <c r="G50" s="8">
        <f>G18/G19*100</f>
        <v>25</v>
      </c>
    </row>
    <row r="51" spans="1:7" x14ac:dyDescent="0.25">
      <c r="A51" s="14" t="s">
        <v>33</v>
      </c>
      <c r="B51" s="8">
        <f>(B49+B50)/2</f>
        <v>28.86979219543781</v>
      </c>
      <c r="C51" s="8">
        <f t="shared" ref="C51:G51" si="11">(C49+C50)/2</f>
        <v>29.276512875370074</v>
      </c>
      <c r="D51" s="8"/>
      <c r="E51" s="8">
        <f t="shared" si="11"/>
        <v>25.685547234167053</v>
      </c>
      <c r="F51" s="8">
        <f t="shared" si="11"/>
        <v>16.039819733498444</v>
      </c>
      <c r="G51" s="8">
        <f t="shared" si="11"/>
        <v>12.5</v>
      </c>
    </row>
    <row r="52" spans="1:7" x14ac:dyDescent="0.25">
      <c r="A52" s="14"/>
      <c r="B52" s="14"/>
      <c r="C52" s="14"/>
      <c r="D52" s="14"/>
      <c r="E52" s="14"/>
      <c r="F52" s="14"/>
      <c r="G52" s="14"/>
    </row>
    <row r="53" spans="1:7" x14ac:dyDescent="0.25">
      <c r="A53" s="14" t="s">
        <v>100</v>
      </c>
      <c r="B53" s="14"/>
      <c r="C53" s="14"/>
      <c r="D53" s="14"/>
      <c r="E53" s="14"/>
      <c r="F53" s="14"/>
      <c r="G53" s="14"/>
    </row>
    <row r="54" spans="1:7" x14ac:dyDescent="0.25">
      <c r="A54" s="14" t="s">
        <v>34</v>
      </c>
      <c r="B54" s="8">
        <f>(B20/B18)*100</f>
        <v>97.36172071937122</v>
      </c>
      <c r="C54" s="8">
        <f t="shared" ref="C54:F54" si="12">(C20/C18)*100</f>
        <v>100</v>
      </c>
      <c r="D54" s="8">
        <f t="shared" si="12"/>
        <v>100</v>
      </c>
      <c r="E54" s="8">
        <f t="shared" si="12"/>
        <v>100</v>
      </c>
      <c r="F54" s="8">
        <f t="shared" si="12"/>
        <v>100</v>
      </c>
      <c r="G54" s="8"/>
    </row>
    <row r="55" spans="1:7" x14ac:dyDescent="0.25">
      <c r="A55" s="14"/>
      <c r="B55" s="14"/>
      <c r="C55" s="14"/>
      <c r="D55" s="14"/>
      <c r="E55" s="14"/>
      <c r="F55" s="14"/>
      <c r="G55" s="14"/>
    </row>
    <row r="56" spans="1:7" x14ac:dyDescent="0.25">
      <c r="A56" s="14" t="s">
        <v>35</v>
      </c>
      <c r="B56" s="14"/>
      <c r="C56" s="14"/>
      <c r="D56" s="14"/>
      <c r="E56" s="14"/>
      <c r="F56" s="14"/>
      <c r="G56" s="14"/>
    </row>
    <row r="57" spans="1:7" x14ac:dyDescent="0.25">
      <c r="A57" s="14" t="s">
        <v>36</v>
      </c>
      <c r="B57" s="8">
        <f>((B12/B10)-1)*100</f>
        <v>2.9825673886682447</v>
      </c>
      <c r="C57" s="8">
        <f>(((C12+D12)/C10)-1)*100</f>
        <v>2.776293695618981</v>
      </c>
      <c r="D57" s="8"/>
      <c r="E57" s="8">
        <f>((E12/E10)-1)*100</f>
        <v>10.069489969843982</v>
      </c>
      <c r="F57" s="8"/>
      <c r="G57" s="8"/>
    </row>
    <row r="58" spans="1:7" x14ac:dyDescent="0.25">
      <c r="A58" s="14" t="s">
        <v>37</v>
      </c>
      <c r="B58" s="8">
        <f>((B33/B32)-1)*100</f>
        <v>-1.3110177704135362</v>
      </c>
      <c r="C58" s="8">
        <f>(((C33+D33)/C32)-1)*100</f>
        <v>-2.8735619265722434</v>
      </c>
      <c r="D58" s="8"/>
      <c r="E58" s="8">
        <f t="shared" ref="E58:G58" si="13">((E33/E32)-1)*100</f>
        <v>-3.482404344652712</v>
      </c>
      <c r="F58" s="8">
        <f t="shared" si="13"/>
        <v>26.957922408005764</v>
      </c>
      <c r="G58" s="8">
        <f t="shared" si="13"/>
        <v>-31.160093346241581</v>
      </c>
    </row>
    <row r="59" spans="1:7" x14ac:dyDescent="0.25">
      <c r="A59" s="14" t="s">
        <v>38</v>
      </c>
      <c r="B59" s="8">
        <f>((B35/B34)-1)*100</f>
        <v>-4.169234918058784</v>
      </c>
      <c r="C59" s="8">
        <f>(((C35+D35)/(C34*2))-1)*100</f>
        <v>-5.4896570130016471</v>
      </c>
      <c r="D59" s="8"/>
      <c r="E59" s="8">
        <f t="shared" ref="E59" si="14">((E35/E34)-1)*100</f>
        <v>-12.312126019853043</v>
      </c>
      <c r="F59" s="8"/>
      <c r="G59" s="8"/>
    </row>
    <row r="60" spans="1:7" x14ac:dyDescent="0.25">
      <c r="A60" s="14"/>
      <c r="B60" s="8"/>
      <c r="C60" s="8"/>
      <c r="D60" s="8"/>
      <c r="E60" s="8"/>
      <c r="F60" s="8"/>
      <c r="G60" s="8"/>
    </row>
    <row r="61" spans="1:7" x14ac:dyDescent="0.25">
      <c r="A61" s="14" t="s">
        <v>39</v>
      </c>
      <c r="B61" s="14"/>
      <c r="C61" s="14"/>
      <c r="D61" s="14"/>
      <c r="E61" s="14"/>
      <c r="F61" s="14"/>
      <c r="G61" s="14"/>
    </row>
    <row r="62" spans="1:7" x14ac:dyDescent="0.25">
      <c r="A62" s="14" t="s">
        <v>101</v>
      </c>
      <c r="B62" s="12">
        <f>B17/(B11*3)</f>
        <v>113248.56731133997</v>
      </c>
      <c r="C62" s="12">
        <f t="shared" ref="C62:E63" si="15">C17/(C11*3)</f>
        <v>93230.723502205423</v>
      </c>
      <c r="D62" s="12"/>
      <c r="E62" s="12">
        <f t="shared" si="15"/>
        <v>271951.96135796775</v>
      </c>
      <c r="F62" s="12"/>
      <c r="G62" s="12"/>
    </row>
    <row r="63" spans="1:7" x14ac:dyDescent="0.25">
      <c r="A63" s="14" t="s">
        <v>102</v>
      </c>
      <c r="B63" s="12">
        <f>B18/(B12*3)</f>
        <v>112785.10447481184</v>
      </c>
      <c r="C63" s="12">
        <f>(C18+D18)/(C12*3)</f>
        <v>127717.72287412817</v>
      </c>
      <c r="D63" s="12"/>
      <c r="E63" s="12">
        <f t="shared" si="15"/>
        <v>272415.12058652326</v>
      </c>
      <c r="F63" s="12"/>
      <c r="G63" s="12"/>
    </row>
    <row r="64" spans="1:7" x14ac:dyDescent="0.25">
      <c r="A64" s="14" t="s">
        <v>40</v>
      </c>
      <c r="B64" s="8">
        <f>(B62/B63)*B46</f>
        <v>101.19588595451056</v>
      </c>
      <c r="C64" s="8">
        <f t="shared" ref="C64:E64" si="16">(C62/C63)*C46</f>
        <v>73.501434058966197</v>
      </c>
      <c r="D64" s="8"/>
      <c r="E64" s="8">
        <f t="shared" si="16"/>
        <v>81.609879599960095</v>
      </c>
      <c r="F64" s="8"/>
      <c r="G64" s="8"/>
    </row>
    <row r="65" spans="1:7" x14ac:dyDescent="0.25">
      <c r="A65" s="8" t="s">
        <v>103</v>
      </c>
      <c r="B65" s="12">
        <f>B17/B11</f>
        <v>339745.70193401992</v>
      </c>
      <c r="C65" s="12">
        <f t="shared" ref="C65:E66" si="17">C17/C11</f>
        <v>279692.1705066163</v>
      </c>
      <c r="D65" s="12"/>
      <c r="E65" s="12">
        <f t="shared" si="17"/>
        <v>815855.8840739032</v>
      </c>
      <c r="F65" s="8"/>
      <c r="G65" s="8"/>
    </row>
    <row r="66" spans="1:7" x14ac:dyDescent="0.25">
      <c r="A66" s="8" t="s">
        <v>104</v>
      </c>
      <c r="B66" s="12">
        <f>B18/B12</f>
        <v>338355.3134244355</v>
      </c>
      <c r="C66" s="12">
        <f>(C18+D18)/C12</f>
        <v>383153.16862238449</v>
      </c>
      <c r="D66" s="12"/>
      <c r="E66" s="12">
        <f t="shared" si="17"/>
        <v>817245.36175956961</v>
      </c>
      <c r="F66" s="8"/>
      <c r="G66" s="8"/>
    </row>
    <row r="67" spans="1:7" x14ac:dyDescent="0.25">
      <c r="A67" s="14"/>
      <c r="B67" s="8"/>
      <c r="C67" s="8"/>
      <c r="D67" s="8"/>
      <c r="E67" s="8"/>
      <c r="F67" s="8"/>
      <c r="G67" s="8"/>
    </row>
    <row r="68" spans="1:7" x14ac:dyDescent="0.25">
      <c r="A68" s="14" t="s">
        <v>41</v>
      </c>
      <c r="B68" s="8"/>
      <c r="C68" s="8"/>
      <c r="D68" s="8"/>
      <c r="E68" s="8"/>
      <c r="F68" s="8"/>
      <c r="G68" s="8"/>
    </row>
    <row r="69" spans="1:7" x14ac:dyDescent="0.25">
      <c r="A69" s="14" t="s">
        <v>42</v>
      </c>
      <c r="B69" s="8">
        <f>(B24/B23)*100</f>
        <v>71.784016182895343</v>
      </c>
      <c r="C69" s="8"/>
      <c r="D69" s="8"/>
      <c r="E69" s="8"/>
      <c r="F69" s="8"/>
      <c r="G69" s="8"/>
    </row>
    <row r="70" spans="1:7" x14ac:dyDescent="0.25">
      <c r="A70" s="14" t="s">
        <v>43</v>
      </c>
      <c r="B70" s="8">
        <f>(B18/B24)*100</f>
        <v>140.10793616363088</v>
      </c>
      <c r="C70" s="8"/>
      <c r="D70" s="8"/>
      <c r="E70" s="8"/>
      <c r="F70" s="8"/>
      <c r="G70" s="8"/>
    </row>
    <row r="71" spans="1:7" ht="15.75" thickBot="1" x14ac:dyDescent="0.3">
      <c r="A71" s="38"/>
      <c r="B71" s="38"/>
      <c r="C71" s="38"/>
      <c r="D71" s="38"/>
      <c r="E71" s="38"/>
      <c r="F71" s="38"/>
      <c r="G71" s="38"/>
    </row>
    <row r="72" spans="1:7" ht="15.75" thickTop="1" x14ac:dyDescent="0.25">
      <c r="A72" s="14"/>
      <c r="B72" s="14"/>
      <c r="C72" s="14"/>
      <c r="D72" s="14"/>
      <c r="E72" s="14"/>
      <c r="F72" s="14"/>
      <c r="G72" s="14"/>
    </row>
    <row r="73" spans="1:7" x14ac:dyDescent="0.25">
      <c r="A73" s="14"/>
      <c r="B73" s="14"/>
      <c r="C73" s="14"/>
      <c r="D73" s="14"/>
      <c r="E73" s="14"/>
      <c r="F73" s="14"/>
      <c r="G73" s="14"/>
    </row>
    <row r="74" spans="1:7" x14ac:dyDescent="0.25">
      <c r="A74" s="14" t="s">
        <v>55</v>
      </c>
      <c r="B74" s="14"/>
      <c r="C74" s="14"/>
      <c r="D74" s="14"/>
      <c r="E74" s="14"/>
      <c r="F74" s="14"/>
      <c r="G74" s="14"/>
    </row>
    <row r="75" spans="1:7" x14ac:dyDescent="0.25">
      <c r="A75" s="14" t="s">
        <v>116</v>
      </c>
      <c r="B75" s="56"/>
      <c r="C75" s="56"/>
      <c r="D75" s="56"/>
      <c r="E75" s="56"/>
      <c r="F75" s="14"/>
      <c r="G75" s="14"/>
    </row>
    <row r="76" spans="1:7" x14ac:dyDescent="0.25">
      <c r="A76" s="1" t="s">
        <v>117</v>
      </c>
    </row>
    <row r="77" spans="1:7" x14ac:dyDescent="0.25">
      <c r="A77" s="1" t="s">
        <v>118</v>
      </c>
    </row>
    <row r="79" spans="1:7" x14ac:dyDescent="0.25">
      <c r="A79" s="1" t="s">
        <v>119</v>
      </c>
    </row>
    <row r="80" spans="1:7" x14ac:dyDescent="0.25">
      <c r="A80" s="1" t="s">
        <v>121</v>
      </c>
    </row>
    <row r="81" spans="1:1" x14ac:dyDescent="0.25">
      <c r="A81" s="1" t="s">
        <v>120</v>
      </c>
    </row>
    <row r="82" spans="1:1" x14ac:dyDescent="0.25">
      <c r="A82" s="1" t="s">
        <v>115</v>
      </c>
    </row>
    <row r="83" spans="1:1" x14ac:dyDescent="0.25">
      <c r="A83" s="1" t="s">
        <v>122</v>
      </c>
    </row>
    <row r="84" spans="1:1" x14ac:dyDescent="0.25">
      <c r="A84" s="16" t="s">
        <v>123</v>
      </c>
    </row>
    <row r="85" spans="1:1" x14ac:dyDescent="0.25">
      <c r="A85" s="16" t="s">
        <v>124</v>
      </c>
    </row>
  </sheetData>
  <mergeCells count="7">
    <mergeCell ref="A4:A5"/>
    <mergeCell ref="A2:G2"/>
    <mergeCell ref="B4:B5"/>
    <mergeCell ref="C4:E4"/>
    <mergeCell ref="F4:F5"/>
    <mergeCell ref="G4:G5"/>
    <mergeCell ref="C5:D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3"/>
  <sheetViews>
    <sheetView workbookViewId="0">
      <selection sqref="A1:G75"/>
    </sheetView>
  </sheetViews>
  <sheetFormatPr baseColWidth="10" defaultRowHeight="15" x14ac:dyDescent="0.25"/>
  <cols>
    <col min="1" max="1" width="55.140625" style="1" customWidth="1"/>
    <col min="2" max="2" width="16.140625" style="1" customWidth="1"/>
    <col min="3" max="3" width="17" style="1" bestFit="1" customWidth="1"/>
    <col min="4" max="4" width="17" style="1" customWidth="1"/>
    <col min="5" max="5" width="16.42578125" style="1" bestFit="1" customWidth="1"/>
    <col min="6" max="6" width="14.7109375" style="1" bestFit="1" customWidth="1"/>
    <col min="7" max="7" width="17.5703125" style="1" bestFit="1" customWidth="1"/>
    <col min="8" max="16384" width="11.42578125" style="1"/>
  </cols>
  <sheetData>
    <row r="1" spans="1:7" x14ac:dyDescent="0.25">
      <c r="A1" s="14"/>
      <c r="B1" s="14"/>
      <c r="C1" s="14"/>
      <c r="D1" s="14"/>
      <c r="E1" s="14"/>
      <c r="F1" s="14"/>
      <c r="G1" s="14"/>
    </row>
    <row r="2" spans="1:7" ht="15.75" x14ac:dyDescent="0.25">
      <c r="A2" s="49" t="s">
        <v>78</v>
      </c>
      <c r="B2" s="49"/>
      <c r="C2" s="49"/>
      <c r="D2" s="49"/>
      <c r="E2" s="49"/>
      <c r="F2" s="49"/>
      <c r="G2" s="49"/>
    </row>
    <row r="3" spans="1:7" x14ac:dyDescent="0.25">
      <c r="A3" s="14"/>
      <c r="B3" s="14"/>
      <c r="C3" s="14"/>
      <c r="D3" s="14"/>
      <c r="E3" s="14"/>
      <c r="F3" s="14"/>
      <c r="G3" s="14"/>
    </row>
    <row r="4" spans="1:7" x14ac:dyDescent="0.25">
      <c r="A4" s="50" t="s">
        <v>1</v>
      </c>
      <c r="B4" s="50" t="s">
        <v>105</v>
      </c>
      <c r="C4" s="51" t="s">
        <v>2</v>
      </c>
      <c r="D4" s="51"/>
      <c r="E4" s="51"/>
      <c r="F4" s="50" t="s">
        <v>3</v>
      </c>
      <c r="G4" s="50" t="s">
        <v>4</v>
      </c>
    </row>
    <row r="5" spans="1:7" ht="15.75" thickBot="1" x14ac:dyDescent="0.3">
      <c r="A5" s="52"/>
      <c r="B5" s="52"/>
      <c r="C5" s="53" t="s">
        <v>106</v>
      </c>
      <c r="D5" s="53"/>
      <c r="E5" s="54" t="s">
        <v>107</v>
      </c>
      <c r="F5" s="52"/>
      <c r="G5" s="52"/>
    </row>
    <row r="6" spans="1:7" ht="15.75" thickTop="1" x14ac:dyDescent="0.25">
      <c r="A6" s="14"/>
      <c r="B6" s="14"/>
      <c r="C6" s="55" t="s">
        <v>126</v>
      </c>
      <c r="D6" s="55" t="s">
        <v>125</v>
      </c>
      <c r="E6" s="14"/>
      <c r="F6" s="14"/>
      <c r="G6" s="14"/>
    </row>
    <row r="7" spans="1:7" x14ac:dyDescent="0.25">
      <c r="A7" s="37" t="s">
        <v>5</v>
      </c>
      <c r="B7" s="14"/>
      <c r="C7" s="14"/>
      <c r="D7" s="14"/>
      <c r="E7" s="14"/>
      <c r="F7" s="14"/>
      <c r="G7" s="14"/>
    </row>
    <row r="8" spans="1:7" x14ac:dyDescent="0.25">
      <c r="A8" s="14"/>
      <c r="B8" s="14"/>
      <c r="C8" s="14"/>
      <c r="D8" s="14"/>
      <c r="E8" s="14"/>
      <c r="F8" s="14"/>
      <c r="G8" s="14"/>
    </row>
    <row r="9" spans="1:7" x14ac:dyDescent="0.25">
      <c r="A9" s="14" t="s">
        <v>114</v>
      </c>
      <c r="B9" s="14"/>
      <c r="C9" s="14"/>
      <c r="D9" s="14"/>
      <c r="E9" s="14"/>
      <c r="F9" s="14"/>
      <c r="G9" s="14"/>
    </row>
    <row r="10" spans="1:7" x14ac:dyDescent="0.25">
      <c r="A10" s="35" t="s">
        <v>79</v>
      </c>
      <c r="B10" s="12">
        <f>SUM(C10:G10)</f>
        <v>87093.666666666657</v>
      </c>
      <c r="C10" s="12">
        <f>(+'I Trimestre'!C10+'II Trimestre'!C10)/2</f>
        <v>84618.833333333328</v>
      </c>
      <c r="D10" s="12"/>
      <c r="E10" s="12">
        <f>(+'I Trimestre'!E10+'II Trimestre'!E10)/2</f>
        <v>2474.833333333333</v>
      </c>
      <c r="F10" s="12"/>
      <c r="G10" s="14"/>
    </row>
    <row r="11" spans="1:7" x14ac:dyDescent="0.25">
      <c r="A11" s="35" t="s">
        <v>80</v>
      </c>
      <c r="B11" s="12">
        <f t="shared" ref="B11:B13" si="0">SUM(C11:G11)</f>
        <v>91289</v>
      </c>
      <c r="C11" s="12">
        <f>(+'I Trimestre'!C11+'II Trimestre'!C11)/2</f>
        <v>88238</v>
      </c>
      <c r="D11" s="12"/>
      <c r="E11" s="12">
        <f>(+'I Trimestre'!E11+'II Trimestre'!E11)/2</f>
        <v>3051</v>
      </c>
      <c r="F11" s="12"/>
      <c r="G11" s="14"/>
    </row>
    <row r="12" spans="1:7" x14ac:dyDescent="0.25">
      <c r="A12" s="35" t="s">
        <v>81</v>
      </c>
      <c r="B12" s="12">
        <f t="shared" si="0"/>
        <v>90875</v>
      </c>
      <c r="C12" s="12">
        <f>(+'I Trimestre'!C12+'II Trimestre'!C12)/2</f>
        <v>63018</v>
      </c>
      <c r="D12" s="12">
        <f>(+'I Trimestre'!D12+'II Trimestre'!D12)/2</f>
        <v>25211.5</v>
      </c>
      <c r="E12" s="12">
        <f>(+'I Trimestre'!E12+'II Trimestre'!E12)/2</f>
        <v>2645.5</v>
      </c>
      <c r="F12" s="12"/>
      <c r="G12" s="14"/>
    </row>
    <row r="13" spans="1:7" x14ac:dyDescent="0.25">
      <c r="A13" s="35" t="s">
        <v>9</v>
      </c>
      <c r="B13" s="12">
        <f t="shared" si="0"/>
        <v>91439</v>
      </c>
      <c r="C13" s="12">
        <v>88238</v>
      </c>
      <c r="D13" s="12"/>
      <c r="E13" s="12">
        <v>3201</v>
      </c>
      <c r="F13" s="12"/>
      <c r="G13" s="14"/>
    </row>
    <row r="14" spans="1:7" x14ac:dyDescent="0.25">
      <c r="A14" s="14"/>
      <c r="B14" s="14"/>
      <c r="C14" s="14"/>
      <c r="D14" s="14"/>
      <c r="E14" s="14"/>
      <c r="F14" s="14"/>
      <c r="G14" s="14"/>
    </row>
    <row r="15" spans="1:7" x14ac:dyDescent="0.25">
      <c r="A15" s="34" t="s">
        <v>10</v>
      </c>
      <c r="B15" s="14"/>
      <c r="C15" s="14"/>
      <c r="D15" s="14"/>
      <c r="E15" s="14"/>
      <c r="F15" s="14"/>
      <c r="G15" s="14"/>
    </row>
    <row r="16" spans="1:7" x14ac:dyDescent="0.25">
      <c r="A16" s="35" t="s">
        <v>79</v>
      </c>
      <c r="B16" s="12">
        <f>SUM(C16:G16)</f>
        <v>44493002113.464996</v>
      </c>
      <c r="C16" s="12">
        <f>+'I Trimestre'!C16+'II Trimestre'!C16</f>
        <v>34985335090.099998</v>
      </c>
      <c r="D16" s="12"/>
      <c r="E16" s="12">
        <f>+'I Trimestre'!E16+'II Trimestre'!E16</f>
        <v>3289883559.0999994</v>
      </c>
      <c r="F16" s="12">
        <f>+'I Trimestre'!F16+'II Trimestre'!F16</f>
        <v>5262842564.2650003</v>
      </c>
      <c r="G16" s="12">
        <f>+'I Trimestre'!G16+'II Trimestre'!G16</f>
        <v>954940900</v>
      </c>
    </row>
    <row r="17" spans="1:7" x14ac:dyDescent="0.25">
      <c r="A17" s="35" t="s">
        <v>80</v>
      </c>
      <c r="B17" s="12">
        <f t="shared" ref="B17:B19" si="1">SUM(C17:G17)</f>
        <v>48019020036.309998</v>
      </c>
      <c r="C17" s="12">
        <f>+'I Trimestre'!C17+'II Trimestre'!C17</f>
        <v>37126200000</v>
      </c>
      <c r="D17" s="12"/>
      <c r="E17" s="12">
        <f>+'I Trimestre'!E17+'II Trimestre'!E17</f>
        <v>3635400000</v>
      </c>
      <c r="F17" s="12">
        <f>+'I Trimestre'!F17+'II Trimestre'!F17</f>
        <v>5604720036.3100004</v>
      </c>
      <c r="G17" s="11">
        <f>+'I Trimestre'!G17+'II Trimestre'!G17</f>
        <v>1652700000</v>
      </c>
    </row>
    <row r="18" spans="1:7" x14ac:dyDescent="0.25">
      <c r="A18" s="35" t="s">
        <v>81</v>
      </c>
      <c r="B18" s="12">
        <f t="shared" si="1"/>
        <v>41917442809.200005</v>
      </c>
      <c r="C18" s="12">
        <f>+'I Trimestre'!C18+'II Trimestre'!C18</f>
        <v>23103313753.433712</v>
      </c>
      <c r="D18" s="12">
        <f>+'I Trimestre'!D18+'II Trimestre'!D18</f>
        <v>9242727083.4662876</v>
      </c>
      <c r="E18" s="12">
        <f>+'I Trimestre'!E18+'II Trimestre'!E18</f>
        <v>3156797644.8000002</v>
      </c>
      <c r="F18" s="12">
        <f>+'I Trimestre'!F18+'II Trimestre'!F18</f>
        <v>4761904327.5</v>
      </c>
      <c r="G18" s="11">
        <f>+'I Trimestre'!G18+'II Trimestre'!G18</f>
        <v>1652700000</v>
      </c>
    </row>
    <row r="19" spans="1:7" x14ac:dyDescent="0.25">
      <c r="A19" s="35" t="s">
        <v>9</v>
      </c>
      <c r="B19" s="12">
        <f t="shared" si="1"/>
        <v>96580949387.699997</v>
      </c>
      <c r="C19" s="12">
        <v>74252400000</v>
      </c>
      <c r="D19" s="12"/>
      <c r="E19" s="12">
        <v>7748100000</v>
      </c>
      <c r="F19" s="12">
        <v>11275049387.700001</v>
      </c>
      <c r="G19" s="11">
        <v>3305400000</v>
      </c>
    </row>
    <row r="20" spans="1:7" x14ac:dyDescent="0.25">
      <c r="A20" s="35" t="s">
        <v>82</v>
      </c>
      <c r="B20" s="12">
        <f>+'I Trimestre'!B20+'II Trimestre'!B20</f>
        <v>40264742809.199997</v>
      </c>
      <c r="C20" s="12">
        <f>+'I Trimestre'!C20+'II Trimestre'!C20</f>
        <v>23103313753.433712</v>
      </c>
      <c r="D20" s="12">
        <f>+'I Trimestre'!D20+'II Trimestre'!D20</f>
        <v>9242727083.4662876</v>
      </c>
      <c r="E20" s="12">
        <f>+'I Trimestre'!E20+'II Trimestre'!E20</f>
        <v>3156797644.8000002</v>
      </c>
      <c r="F20" s="12">
        <f>+'I Trimestre'!F20+'II Trimestre'!F20</f>
        <v>4761904327.5</v>
      </c>
      <c r="G20" s="11"/>
    </row>
    <row r="21" spans="1:7" x14ac:dyDescent="0.25">
      <c r="A21" s="14"/>
      <c r="B21" s="12"/>
      <c r="C21" s="12"/>
      <c r="D21" s="12"/>
      <c r="E21" s="12"/>
      <c r="F21" s="12"/>
      <c r="G21" s="14"/>
    </row>
    <row r="22" spans="1:7" x14ac:dyDescent="0.25">
      <c r="A22" s="34" t="s">
        <v>12</v>
      </c>
      <c r="B22" s="12"/>
      <c r="C22" s="12"/>
      <c r="D22" s="12"/>
      <c r="E22" s="12"/>
      <c r="F22" s="12"/>
      <c r="G22" s="12"/>
    </row>
    <row r="23" spans="1:7" x14ac:dyDescent="0.25">
      <c r="A23" s="35" t="s">
        <v>80</v>
      </c>
      <c r="B23" s="12">
        <f>B17</f>
        <v>48019020036.309998</v>
      </c>
      <c r="C23" s="12"/>
      <c r="D23" s="12"/>
      <c r="E23" s="12"/>
      <c r="F23" s="12"/>
      <c r="G23" s="12"/>
    </row>
    <row r="24" spans="1:7" x14ac:dyDescent="0.25">
      <c r="A24" s="35" t="s">
        <v>81</v>
      </c>
      <c r="B24" s="12">
        <f>+'I Trimestre'!B24+'II Trimestre'!B24</f>
        <v>50084642809</v>
      </c>
      <c r="C24" s="12"/>
      <c r="D24" s="12"/>
      <c r="E24" s="12"/>
      <c r="F24" s="12"/>
      <c r="G24" s="12"/>
    </row>
    <row r="25" spans="1:7" x14ac:dyDescent="0.25">
      <c r="A25" s="14"/>
      <c r="B25" s="14"/>
      <c r="C25" s="14"/>
      <c r="D25" s="14"/>
      <c r="E25" s="14"/>
      <c r="F25" s="14"/>
      <c r="G25" s="14"/>
    </row>
    <row r="26" spans="1:7" x14ac:dyDescent="0.25">
      <c r="A26" s="14" t="s">
        <v>13</v>
      </c>
      <c r="B26" s="14"/>
      <c r="C26" s="14"/>
      <c r="D26" s="14"/>
      <c r="E26" s="14"/>
      <c r="F26" s="14"/>
      <c r="G26" s="14"/>
    </row>
    <row r="27" spans="1:7" x14ac:dyDescent="0.25">
      <c r="A27" s="35" t="s">
        <v>83</v>
      </c>
      <c r="B27" s="36">
        <v>1.39</v>
      </c>
      <c r="C27" s="36">
        <v>1.39</v>
      </c>
      <c r="D27" s="36">
        <v>1.39</v>
      </c>
      <c r="E27" s="36">
        <v>1.39</v>
      </c>
      <c r="F27" s="36">
        <v>1.39</v>
      </c>
      <c r="G27" s="36">
        <v>1.39</v>
      </c>
    </row>
    <row r="28" spans="1:7" x14ac:dyDescent="0.25">
      <c r="A28" s="35" t="s">
        <v>84</v>
      </c>
      <c r="B28" s="36">
        <v>1.45</v>
      </c>
      <c r="C28" s="36">
        <v>1.45</v>
      </c>
      <c r="D28" s="36">
        <v>1.45</v>
      </c>
      <c r="E28" s="36">
        <v>1.45</v>
      </c>
      <c r="F28" s="36">
        <v>1.45</v>
      </c>
      <c r="G28" s="36">
        <v>1.45</v>
      </c>
    </row>
    <row r="29" spans="1:7" x14ac:dyDescent="0.25">
      <c r="A29" s="35" t="s">
        <v>16</v>
      </c>
      <c r="B29" s="13">
        <f>+C29+E29</f>
        <v>85025</v>
      </c>
      <c r="C29" s="13">
        <v>78777</v>
      </c>
      <c r="D29" s="13" t="s">
        <v>127</v>
      </c>
      <c r="E29" s="13">
        <v>6248</v>
      </c>
      <c r="F29" s="13"/>
      <c r="G29" s="13"/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37" t="s">
        <v>17</v>
      </c>
      <c r="B31" s="14"/>
      <c r="C31" s="14"/>
      <c r="D31" s="14"/>
      <c r="E31" s="14"/>
      <c r="F31" s="14"/>
      <c r="G31" s="14"/>
    </row>
    <row r="32" spans="1:7" x14ac:dyDescent="0.25">
      <c r="A32" s="14" t="s">
        <v>85</v>
      </c>
      <c r="B32" s="12">
        <f>B16/B27</f>
        <v>32009354038.464027</v>
      </c>
      <c r="C32" s="12">
        <f t="shared" ref="C32:G32" si="2">C16/C27</f>
        <v>25169305820.215828</v>
      </c>
      <c r="D32" s="12"/>
      <c r="E32" s="12">
        <f t="shared" si="2"/>
        <v>2366822704.3884888</v>
      </c>
      <c r="F32" s="12">
        <f t="shared" si="2"/>
        <v>3786217672.1330938</v>
      </c>
      <c r="G32" s="12">
        <f t="shared" si="2"/>
        <v>687007841.72661877</v>
      </c>
    </row>
    <row r="33" spans="1:7" x14ac:dyDescent="0.25">
      <c r="A33" s="14" t="s">
        <v>86</v>
      </c>
      <c r="B33" s="12">
        <f>B18/B28</f>
        <v>28908581247.72414</v>
      </c>
      <c r="C33" s="12">
        <f t="shared" ref="C33:G33" si="3">C18/C28</f>
        <v>15933319829.954285</v>
      </c>
      <c r="D33" s="12">
        <f t="shared" si="3"/>
        <v>6374294540.321578</v>
      </c>
      <c r="E33" s="12">
        <f t="shared" si="3"/>
        <v>2177101824</v>
      </c>
      <c r="F33" s="12">
        <f t="shared" si="3"/>
        <v>3284071950</v>
      </c>
      <c r="G33" s="12">
        <f t="shared" si="3"/>
        <v>1139793103.4482758</v>
      </c>
    </row>
    <row r="34" spans="1:7" x14ac:dyDescent="0.25">
      <c r="A34" s="14" t="s">
        <v>87</v>
      </c>
      <c r="B34" s="12">
        <f>B32/B10</f>
        <v>367527.91865995649</v>
      </c>
      <c r="C34" s="12">
        <f t="shared" ref="C34:E34" si="4">C32/C10</f>
        <v>297443.309352518</v>
      </c>
      <c r="D34" s="12"/>
      <c r="E34" s="12">
        <f t="shared" si="4"/>
        <v>956356.40287769784</v>
      </c>
      <c r="F34" s="12"/>
      <c r="G34" s="12"/>
    </row>
    <row r="35" spans="1:7" x14ac:dyDescent="0.25">
      <c r="A35" s="14" t="s">
        <v>88</v>
      </c>
      <c r="B35" s="12">
        <f>B33/B12</f>
        <v>318113.68635734956</v>
      </c>
      <c r="C35" s="12">
        <f t="shared" ref="C35:E35" si="5">C33/C12</f>
        <v>252837.59925662962</v>
      </c>
      <c r="D35" s="12">
        <f t="shared" si="5"/>
        <v>252832.81598959118</v>
      </c>
      <c r="E35" s="12">
        <f t="shared" si="5"/>
        <v>822945.31241731241</v>
      </c>
      <c r="F35" s="12"/>
      <c r="G35" s="12"/>
    </row>
    <row r="36" spans="1:7" x14ac:dyDescent="0.25">
      <c r="A36" s="14"/>
      <c r="B36" s="14"/>
      <c r="C36" s="14"/>
      <c r="D36" s="14"/>
      <c r="E36" s="14"/>
      <c r="F36" s="14"/>
      <c r="G36" s="14"/>
    </row>
    <row r="37" spans="1:7" x14ac:dyDescent="0.25">
      <c r="A37" s="37" t="s">
        <v>22</v>
      </c>
      <c r="B37" s="14"/>
      <c r="C37" s="14"/>
      <c r="D37" s="14"/>
      <c r="E37" s="14"/>
      <c r="F37" s="14"/>
      <c r="G37" s="14"/>
    </row>
    <row r="38" spans="1:7" x14ac:dyDescent="0.25">
      <c r="A38" s="14"/>
      <c r="B38" s="14"/>
      <c r="C38" s="14"/>
      <c r="D38" s="14"/>
      <c r="E38" s="14"/>
      <c r="F38" s="14"/>
      <c r="G38" s="14"/>
    </row>
    <row r="39" spans="1:7" x14ac:dyDescent="0.25">
      <c r="A39" s="14" t="s">
        <v>23</v>
      </c>
      <c r="B39" s="14"/>
      <c r="C39" s="14"/>
      <c r="D39" s="14"/>
      <c r="E39" s="14"/>
      <c r="F39" s="14"/>
      <c r="G39" s="14"/>
    </row>
    <row r="40" spans="1:7" x14ac:dyDescent="0.25">
      <c r="A40" s="14" t="s">
        <v>24</v>
      </c>
      <c r="B40" s="8">
        <f>((C40*C17+E40*E17)/(C17+E17))</f>
        <v>106.3751817545469</v>
      </c>
      <c r="C40" s="8">
        <f t="shared" ref="C40:F40" si="6">(C11)/C29*100</f>
        <v>112.00985059090851</v>
      </c>
      <c r="D40" s="8"/>
      <c r="E40" s="8">
        <f t="shared" si="6"/>
        <v>48.831626120358514</v>
      </c>
      <c r="F40" s="8" t="e">
        <f t="shared" si="6"/>
        <v>#DIV/0!</v>
      </c>
      <c r="G40" s="14"/>
    </row>
    <row r="41" spans="1:7" x14ac:dyDescent="0.25">
      <c r="A41" s="14" t="s">
        <v>25</v>
      </c>
      <c r="B41" s="8">
        <f>((C41*C18+E41*E18)/(C18+E18))</f>
        <v>75.468957247149817</v>
      </c>
      <c r="C41" s="8">
        <f t="shared" ref="C41:F41" si="7">(C12)/C29*100</f>
        <v>79.995430138238319</v>
      </c>
      <c r="D41" s="8"/>
      <c r="E41" s="8">
        <f t="shared" si="7"/>
        <v>42.341549295774648</v>
      </c>
      <c r="F41" s="8" t="e">
        <f t="shared" si="7"/>
        <v>#DIV/0!</v>
      </c>
      <c r="G41" s="14"/>
    </row>
    <row r="42" spans="1:7" x14ac:dyDescent="0.25">
      <c r="A42" s="14"/>
      <c r="B42" s="14"/>
      <c r="C42" s="14"/>
      <c r="D42" s="14"/>
      <c r="E42" s="14"/>
      <c r="F42" s="14"/>
      <c r="G42" s="14"/>
    </row>
    <row r="43" spans="1:7" x14ac:dyDescent="0.25">
      <c r="A43" s="14" t="s">
        <v>26</v>
      </c>
      <c r="B43" s="14"/>
      <c r="C43" s="14"/>
      <c r="D43" s="14"/>
      <c r="E43" s="14"/>
      <c r="F43" s="14"/>
      <c r="G43" s="14"/>
    </row>
    <row r="44" spans="1:7" x14ac:dyDescent="0.25">
      <c r="A44" s="14" t="s">
        <v>27</v>
      </c>
      <c r="B44" s="8">
        <f>B12/B11*100</f>
        <v>99.546495196573517</v>
      </c>
      <c r="C44" s="8">
        <f>(C12+D12)/C11*100</f>
        <v>99.990366962079818</v>
      </c>
      <c r="D44" s="8"/>
      <c r="E44" s="8">
        <f>E12/E11*100</f>
        <v>86.709275647328738</v>
      </c>
      <c r="F44" s="8"/>
      <c r="G44" s="14"/>
    </row>
    <row r="45" spans="1:7" x14ac:dyDescent="0.25">
      <c r="A45" s="14" t="s">
        <v>28</v>
      </c>
      <c r="B45" s="8">
        <f>B18/B17*100</f>
        <v>87.293415770467135</v>
      </c>
      <c r="C45" s="8">
        <f>(C18+D18)/C17*100</f>
        <v>87.124566578050008</v>
      </c>
      <c r="D45" s="8"/>
      <c r="E45" s="8">
        <f>E18/E17*100</f>
        <v>86.834946492820592</v>
      </c>
      <c r="F45" s="8">
        <f>F18/F17*100</f>
        <v>84.96239413655195</v>
      </c>
      <c r="G45" s="8">
        <f>G18/G17*100</f>
        <v>100</v>
      </c>
    </row>
    <row r="46" spans="1:7" x14ac:dyDescent="0.25">
      <c r="A46" s="14" t="s">
        <v>29</v>
      </c>
      <c r="B46" s="8">
        <f>AVERAGE(B44:B45)</f>
        <v>93.419955483520326</v>
      </c>
      <c r="C46" s="8">
        <f t="shared" ref="C46:E46" si="8">AVERAGE(C44:C45)</f>
        <v>93.557466770064906</v>
      </c>
      <c r="D46" s="8"/>
      <c r="E46" s="8">
        <f t="shared" si="8"/>
        <v>86.772111070074658</v>
      </c>
      <c r="F46" s="8"/>
      <c r="G46" s="8"/>
    </row>
    <row r="47" spans="1:7" x14ac:dyDescent="0.25">
      <c r="A47" s="14"/>
      <c r="B47" s="8"/>
      <c r="C47" s="8"/>
      <c r="D47" s="8"/>
      <c r="E47" s="8"/>
      <c r="F47" s="8"/>
      <c r="G47" s="8"/>
    </row>
    <row r="48" spans="1:7" x14ac:dyDescent="0.25">
      <c r="A48" s="14" t="s">
        <v>30</v>
      </c>
      <c r="B48" s="14"/>
      <c r="C48" s="14"/>
      <c r="D48" s="14"/>
      <c r="E48" s="14"/>
      <c r="F48" s="14"/>
      <c r="G48" s="14"/>
    </row>
    <row r="49" spans="1:7" x14ac:dyDescent="0.25">
      <c r="A49" s="14" t="s">
        <v>31</v>
      </c>
      <c r="B49" s="8">
        <f>B12/(B13*2)*100</f>
        <v>49.691597677139953</v>
      </c>
      <c r="C49" s="8">
        <f>(C12+D12)/(C13*2)*100</f>
        <v>49.995183481039909</v>
      </c>
      <c r="D49" s="8"/>
      <c r="E49" s="8">
        <f t="shared" ref="E49" si="9">E12/(E13*2)*100</f>
        <v>41.323024054982817</v>
      </c>
      <c r="F49" s="8"/>
      <c r="G49" s="8"/>
    </row>
    <row r="50" spans="1:7" x14ac:dyDescent="0.25">
      <c r="A50" s="14" t="s">
        <v>32</v>
      </c>
      <c r="B50" s="8">
        <f>B18/B19*100</f>
        <v>43.401357177524673</v>
      </c>
      <c r="C50" s="8">
        <f>(C18+D18)/C19*100</f>
        <v>43.562283289025004</v>
      </c>
      <c r="D50" s="8"/>
      <c r="E50" s="8">
        <f>E18/E19*100</f>
        <v>40.742861408603403</v>
      </c>
      <c r="F50" s="8">
        <f>F18/F19*100</f>
        <v>42.233999725932748</v>
      </c>
      <c r="G50" s="8">
        <f>G18/G19*100</f>
        <v>50</v>
      </c>
    </row>
    <row r="51" spans="1:7" x14ac:dyDescent="0.25">
      <c r="A51" s="14" t="s">
        <v>33</v>
      </c>
      <c r="B51" s="8">
        <f>(B49+B50)/2</f>
        <v>46.546477427332313</v>
      </c>
      <c r="C51" s="8">
        <f t="shared" ref="C51:G51" si="10">(C49+C50)/2</f>
        <v>46.778733385032453</v>
      </c>
      <c r="D51" s="8"/>
      <c r="E51" s="8">
        <f t="shared" si="10"/>
        <v>41.032942731793113</v>
      </c>
      <c r="F51" s="8">
        <f t="shared" si="10"/>
        <v>21.116999862966374</v>
      </c>
      <c r="G51" s="8">
        <f t="shared" si="10"/>
        <v>25</v>
      </c>
    </row>
    <row r="52" spans="1:7" x14ac:dyDescent="0.25">
      <c r="A52" s="14"/>
      <c r="B52" s="14"/>
      <c r="C52" s="14"/>
      <c r="D52" s="14"/>
      <c r="E52" s="14"/>
      <c r="F52" s="14"/>
      <c r="G52" s="14"/>
    </row>
    <row r="53" spans="1:7" x14ac:dyDescent="0.25">
      <c r="A53" s="14" t="s">
        <v>100</v>
      </c>
      <c r="B53" s="14"/>
      <c r="C53" s="14"/>
      <c r="D53" s="14"/>
      <c r="E53" s="14"/>
      <c r="F53" s="14"/>
      <c r="G53" s="14"/>
    </row>
    <row r="54" spans="1:7" x14ac:dyDescent="0.25">
      <c r="A54" s="14" t="s">
        <v>34</v>
      </c>
      <c r="B54" s="8">
        <f>(B20/B18)*100</f>
        <v>96.05724994360277</v>
      </c>
      <c r="C54" s="8">
        <f t="shared" ref="C54:F54" si="11">(C20/C18)*100</f>
        <v>100</v>
      </c>
      <c r="D54" s="8">
        <f t="shared" si="11"/>
        <v>100</v>
      </c>
      <c r="E54" s="8">
        <f t="shared" si="11"/>
        <v>100</v>
      </c>
      <c r="F54" s="8">
        <f t="shared" si="11"/>
        <v>100</v>
      </c>
      <c r="G54" s="8"/>
    </row>
    <row r="55" spans="1:7" x14ac:dyDescent="0.25">
      <c r="A55" s="14"/>
      <c r="B55" s="14"/>
      <c r="C55" s="14"/>
      <c r="D55" s="14"/>
      <c r="E55" s="14"/>
      <c r="F55" s="14"/>
      <c r="G55" s="14"/>
    </row>
    <row r="56" spans="1:7" x14ac:dyDescent="0.25">
      <c r="A56" s="14" t="s">
        <v>35</v>
      </c>
      <c r="B56" s="14"/>
      <c r="C56" s="14"/>
      <c r="D56" s="14"/>
      <c r="E56" s="14"/>
      <c r="F56" s="14"/>
      <c r="G56" s="14"/>
    </row>
    <row r="57" spans="1:7" x14ac:dyDescent="0.25">
      <c r="A57" s="14" t="s">
        <v>36</v>
      </c>
      <c r="B57" s="8">
        <f>((B12/B10)-1)*100</f>
        <v>4.341685771257775</v>
      </c>
      <c r="C57" s="8">
        <f>(((C12+D12)/C10)-1)*100</f>
        <v>4.2669776034885976</v>
      </c>
      <c r="D57" s="8"/>
      <c r="E57" s="8">
        <f>((E12/E10)-1)*100</f>
        <v>6.8960872786046234</v>
      </c>
      <c r="F57" s="8"/>
      <c r="G57" s="8"/>
    </row>
    <row r="58" spans="1:7" x14ac:dyDescent="0.25">
      <c r="A58" s="14" t="s">
        <v>37</v>
      </c>
      <c r="B58" s="8">
        <f>((B33/B32)-1)*100</f>
        <v>-9.6870833038799944</v>
      </c>
      <c r="C58" s="8">
        <f>(((C33+D33)/C32)-1)*100</f>
        <v>-11.369767090046135</v>
      </c>
      <c r="D58" s="8"/>
      <c r="E58" s="8">
        <f t="shared" ref="E58:G58" si="12">((E33/E32)-1)*100</f>
        <v>-8.0158467314308872</v>
      </c>
      <c r="F58" s="8">
        <f t="shared" si="12"/>
        <v>-13.26246311269772</v>
      </c>
      <c r="G58" s="8">
        <f t="shared" si="12"/>
        <v>65.906854947055166</v>
      </c>
    </row>
    <row r="59" spans="1:7" x14ac:dyDescent="0.25">
      <c r="A59" s="14" t="s">
        <v>38</v>
      </c>
      <c r="B59" s="8">
        <f>((B35/B34)-1)*100</f>
        <v>-13.445028198885179</v>
      </c>
      <c r="C59" s="8">
        <f>(((C35+D35)/(C34*2))-1)*100</f>
        <v>-14.997177723214428</v>
      </c>
      <c r="D59" s="8"/>
      <c r="E59" s="8">
        <f t="shared" ref="E59" si="13">((E35/E34)-1)*100</f>
        <v>-13.94993436118046</v>
      </c>
      <c r="F59" s="8"/>
      <c r="G59" s="8"/>
    </row>
    <row r="60" spans="1:7" x14ac:dyDescent="0.25">
      <c r="A60" s="14"/>
      <c r="B60" s="8"/>
      <c r="C60" s="8"/>
      <c r="D60" s="8"/>
      <c r="E60" s="8"/>
      <c r="F60" s="8"/>
      <c r="G60" s="8"/>
    </row>
    <row r="61" spans="1:7" x14ac:dyDescent="0.25">
      <c r="A61" s="14" t="s">
        <v>39</v>
      </c>
      <c r="B61" s="14"/>
      <c r="C61" s="14"/>
      <c r="D61" s="14"/>
      <c r="E61" s="14"/>
      <c r="F61" s="14"/>
      <c r="G61" s="14"/>
    </row>
    <row r="62" spans="1:7" x14ac:dyDescent="0.25">
      <c r="A62" s="14" t="s">
        <v>101</v>
      </c>
      <c r="B62" s="12">
        <f>B17/(B11*6)</f>
        <v>87668.503390897764</v>
      </c>
      <c r="C62" s="12">
        <f t="shared" ref="C62:E62" si="14">C17/(C11*6)</f>
        <v>70125.116163104336</v>
      </c>
      <c r="D62" s="12"/>
      <c r="E62" s="12">
        <f t="shared" si="14"/>
        <v>198590.62602425434</v>
      </c>
      <c r="F62" s="12"/>
      <c r="G62" s="12"/>
    </row>
    <row r="63" spans="1:7" x14ac:dyDescent="0.25">
      <c r="A63" s="14" t="s">
        <v>102</v>
      </c>
      <c r="B63" s="12">
        <f>B18/(B12*6)</f>
        <v>76877.47420302614</v>
      </c>
      <c r="C63" s="12">
        <f>(C18+D18)/(C12*6)</f>
        <v>85547.094578533128</v>
      </c>
      <c r="D63" s="12"/>
      <c r="E63" s="12">
        <f t="shared" ref="E63" si="15">E18/(E12*6)</f>
        <v>198878.45050085051</v>
      </c>
      <c r="F63" s="12"/>
      <c r="G63" s="12"/>
    </row>
    <row r="64" spans="1:7" x14ac:dyDescent="0.25">
      <c r="A64" s="14" t="s">
        <v>40</v>
      </c>
      <c r="B64" s="8">
        <f>(B62/B63)*B46</f>
        <v>106.5329964204539</v>
      </c>
      <c r="C64" s="8">
        <f t="shared" ref="C64:E64" si="16">(C62/C63)*C46</f>
        <v>76.691420760687066</v>
      </c>
      <c r="D64" s="8"/>
      <c r="E64" s="8">
        <f t="shared" si="16"/>
        <v>86.646531162402439</v>
      </c>
      <c r="F64" s="8"/>
      <c r="G64" s="8"/>
    </row>
    <row r="65" spans="1:7" s="14" customFormat="1" x14ac:dyDescent="0.25">
      <c r="A65" s="8" t="s">
        <v>108</v>
      </c>
      <c r="B65" s="12">
        <f>B17/B11</f>
        <v>526011.02034538658</v>
      </c>
      <c r="C65" s="12">
        <f t="shared" ref="C65:E66" si="17">C17/C11</f>
        <v>420750.69697862602</v>
      </c>
      <c r="D65" s="12"/>
      <c r="E65" s="12">
        <f t="shared" si="17"/>
        <v>1191543.756145526</v>
      </c>
      <c r="F65" s="8"/>
      <c r="G65" s="8"/>
    </row>
    <row r="66" spans="1:7" s="14" customFormat="1" x14ac:dyDescent="0.25">
      <c r="A66" s="8" t="s">
        <v>109</v>
      </c>
      <c r="B66" s="12">
        <f>B18/B12</f>
        <v>461264.84521815687</v>
      </c>
      <c r="C66" s="12">
        <f>(C18+D18)/C12</f>
        <v>513282.56747119874</v>
      </c>
      <c r="D66" s="12"/>
      <c r="E66" s="12">
        <f t="shared" si="17"/>
        <v>1193270.7030051032</v>
      </c>
      <c r="F66" s="8"/>
      <c r="G66" s="8"/>
    </row>
    <row r="67" spans="1:7" x14ac:dyDescent="0.25">
      <c r="A67" s="14"/>
      <c r="B67" s="8"/>
      <c r="C67" s="8"/>
      <c r="D67" s="8"/>
      <c r="E67" s="8"/>
      <c r="F67" s="8"/>
      <c r="G67" s="8"/>
    </row>
    <row r="68" spans="1:7" x14ac:dyDescent="0.25">
      <c r="A68" s="14" t="s">
        <v>41</v>
      </c>
      <c r="B68" s="8"/>
      <c r="C68" s="8"/>
      <c r="D68" s="8"/>
      <c r="E68" s="8"/>
      <c r="F68" s="8"/>
      <c r="G68" s="8"/>
    </row>
    <row r="69" spans="1:7" x14ac:dyDescent="0.25">
      <c r="A69" s="14" t="s">
        <v>42</v>
      </c>
      <c r="B69" s="8">
        <f>(B24/B23)*100</f>
        <v>104.30167623397575</v>
      </c>
      <c r="C69" s="8"/>
      <c r="D69" s="8"/>
      <c r="E69" s="8"/>
      <c r="F69" s="8"/>
      <c r="G69" s="8"/>
    </row>
    <row r="70" spans="1:7" x14ac:dyDescent="0.25">
      <c r="A70" s="14" t="s">
        <v>43</v>
      </c>
      <c r="B70" s="8">
        <f>(B18/B24)*100</f>
        <v>83.693205058991893</v>
      </c>
      <c r="C70" s="8"/>
      <c r="D70" s="8"/>
      <c r="E70" s="8"/>
      <c r="F70" s="8"/>
      <c r="G70" s="8"/>
    </row>
    <row r="71" spans="1:7" ht="15.75" thickBot="1" x14ac:dyDescent="0.3">
      <c r="A71" s="38"/>
      <c r="B71" s="38"/>
      <c r="C71" s="38"/>
      <c r="D71" s="38"/>
      <c r="E71" s="38"/>
      <c r="F71" s="38"/>
      <c r="G71" s="38"/>
    </row>
    <row r="72" spans="1:7" ht="15.75" thickTop="1" x14ac:dyDescent="0.25">
      <c r="A72" s="14"/>
      <c r="B72" s="14"/>
      <c r="C72" s="14"/>
      <c r="D72" s="14"/>
      <c r="E72" s="14"/>
      <c r="F72" s="14"/>
      <c r="G72" s="14"/>
    </row>
    <row r="73" spans="1:7" x14ac:dyDescent="0.25">
      <c r="A73" s="14" t="s">
        <v>55</v>
      </c>
      <c r="B73" s="14"/>
      <c r="C73" s="14"/>
      <c r="D73" s="14"/>
      <c r="E73" s="14"/>
      <c r="F73" s="14"/>
      <c r="G73" s="14"/>
    </row>
    <row r="74" spans="1:7" x14ac:dyDescent="0.25">
      <c r="A74" s="14" t="s">
        <v>116</v>
      </c>
      <c r="B74" s="14"/>
      <c r="C74" s="14"/>
      <c r="D74" s="14"/>
      <c r="E74" s="14"/>
      <c r="F74" s="14"/>
      <c r="G74" s="14"/>
    </row>
    <row r="75" spans="1:7" x14ac:dyDescent="0.25">
      <c r="A75" s="14" t="s">
        <v>117</v>
      </c>
      <c r="B75" s="56"/>
      <c r="C75" s="56"/>
      <c r="D75" s="56"/>
      <c r="E75" s="56"/>
      <c r="F75" s="14"/>
      <c r="G75" s="14"/>
    </row>
    <row r="76" spans="1:7" x14ac:dyDescent="0.25">
      <c r="A76" s="1" t="s">
        <v>118</v>
      </c>
    </row>
    <row r="78" spans="1:7" x14ac:dyDescent="0.25">
      <c r="A78" s="1" t="s">
        <v>119</v>
      </c>
    </row>
    <row r="79" spans="1:7" x14ac:dyDescent="0.25">
      <c r="A79" s="1" t="s">
        <v>121</v>
      </c>
    </row>
    <row r="80" spans="1:7" x14ac:dyDescent="0.25">
      <c r="A80" s="1" t="s">
        <v>120</v>
      </c>
    </row>
    <row r="81" spans="1:1" x14ac:dyDescent="0.25">
      <c r="A81" s="1" t="s">
        <v>122</v>
      </c>
    </row>
    <row r="82" spans="1:1" x14ac:dyDescent="0.25">
      <c r="A82" s="16" t="s">
        <v>123</v>
      </c>
    </row>
    <row r="83" spans="1:1" x14ac:dyDescent="0.25">
      <c r="A83" s="16" t="s">
        <v>124</v>
      </c>
    </row>
  </sheetData>
  <mergeCells count="7">
    <mergeCell ref="A2:G2"/>
    <mergeCell ref="A4:A5"/>
    <mergeCell ref="B4:B5"/>
    <mergeCell ref="C4:E4"/>
    <mergeCell ref="F4:F5"/>
    <mergeCell ref="G4:G5"/>
    <mergeCell ref="C5:D5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3"/>
  <sheetViews>
    <sheetView topLeftCell="A40" workbookViewId="0">
      <selection activeCell="H91" sqref="H91"/>
    </sheetView>
  </sheetViews>
  <sheetFormatPr baseColWidth="10" defaultRowHeight="15" x14ac:dyDescent="0.25"/>
  <cols>
    <col min="1" max="1" width="55.140625" style="1" customWidth="1"/>
    <col min="2" max="2" width="16.140625" style="1" customWidth="1"/>
    <col min="3" max="3" width="17" style="1" bestFit="1" customWidth="1"/>
    <col min="4" max="4" width="17" style="1" customWidth="1"/>
    <col min="5" max="5" width="16.42578125" style="1" bestFit="1" customWidth="1"/>
    <col min="6" max="6" width="14.7109375" style="1" bestFit="1" customWidth="1"/>
    <col min="7" max="7" width="17.5703125" style="1" bestFit="1" customWidth="1"/>
    <col min="8" max="16384" width="11.42578125" style="1"/>
  </cols>
  <sheetData>
    <row r="2" spans="1:7" ht="15.75" x14ac:dyDescent="0.25">
      <c r="A2" s="29" t="s">
        <v>89</v>
      </c>
      <c r="B2" s="29"/>
      <c r="C2" s="29"/>
      <c r="D2" s="29"/>
      <c r="E2" s="29"/>
      <c r="F2" s="29"/>
      <c r="G2" s="29"/>
    </row>
    <row r="4" spans="1:7" x14ac:dyDescent="0.25">
      <c r="A4" s="30" t="s">
        <v>1</v>
      </c>
      <c r="B4" s="30" t="s">
        <v>105</v>
      </c>
      <c r="C4" s="32" t="s">
        <v>2</v>
      </c>
      <c r="D4" s="32"/>
      <c r="E4" s="32"/>
      <c r="F4" s="30" t="s">
        <v>3</v>
      </c>
      <c r="G4" s="30" t="s">
        <v>4</v>
      </c>
    </row>
    <row r="5" spans="1:7" ht="15.75" thickBot="1" x14ac:dyDescent="0.3">
      <c r="A5" s="31"/>
      <c r="B5" s="31"/>
      <c r="C5" s="33" t="s">
        <v>106</v>
      </c>
      <c r="D5" s="33"/>
      <c r="E5" s="2" t="s">
        <v>107</v>
      </c>
      <c r="F5" s="31"/>
      <c r="G5" s="31"/>
    </row>
    <row r="6" spans="1:7" ht="15.75" thickTop="1" x14ac:dyDescent="0.25">
      <c r="C6" s="17" t="s">
        <v>126</v>
      </c>
      <c r="D6" s="17" t="s">
        <v>125</v>
      </c>
    </row>
    <row r="7" spans="1:7" x14ac:dyDescent="0.25">
      <c r="A7" s="3" t="s">
        <v>5</v>
      </c>
    </row>
    <row r="9" spans="1:7" x14ac:dyDescent="0.25">
      <c r="A9" s="1" t="s">
        <v>114</v>
      </c>
    </row>
    <row r="10" spans="1:7" x14ac:dyDescent="0.25">
      <c r="A10" s="4" t="s">
        <v>57</v>
      </c>
      <c r="B10" s="12">
        <f>SUM(C10:G10)</f>
        <v>87677.666666666672</v>
      </c>
      <c r="C10" s="5">
        <f>(+'I Trimestre'!C10+'II Trimestre'!C10+'III Trimestre'!C10)/3</f>
        <v>85190</v>
      </c>
      <c r="D10" s="5"/>
      <c r="E10" s="5">
        <f>(+'I Trimestre'!E10+'II Trimestre'!E10+'III Trimestre'!E10)/3</f>
        <v>2487.6666666666665</v>
      </c>
      <c r="F10" s="5"/>
    </row>
    <row r="11" spans="1:7" x14ac:dyDescent="0.25">
      <c r="A11" s="4" t="s">
        <v>58</v>
      </c>
      <c r="B11" s="12">
        <f t="shared" ref="B11:B13" si="0">SUM(C11:G11)</f>
        <v>91364</v>
      </c>
      <c r="C11" s="5">
        <f>(+'I Trimestre'!C11+'II Trimestre'!C11+'III Trimestre'!C11)/3</f>
        <v>88238</v>
      </c>
      <c r="D11" s="5"/>
      <c r="E11" s="5">
        <f>(+'I Trimestre'!E11+'II Trimestre'!E11+'III Trimestre'!E11)/3</f>
        <v>3126</v>
      </c>
      <c r="F11" s="5"/>
    </row>
    <row r="12" spans="1:7" x14ac:dyDescent="0.25">
      <c r="A12" s="4" t="s">
        <v>59</v>
      </c>
      <c r="B12" s="12">
        <f t="shared" si="0"/>
        <v>91182</v>
      </c>
      <c r="C12" s="5">
        <f>(+'I Trimestre'!C12+'II Trimestre'!C12+'III Trimestre'!C12)/3</f>
        <v>63217.777777777781</v>
      </c>
      <c r="D12" s="5">
        <f>(+'I Trimestre'!D12+'II Trimestre'!D12+'III Trimestre'!D12)/3</f>
        <v>25288.444444444442</v>
      </c>
      <c r="E12" s="5">
        <f>(+'I Trimestre'!E12+'II Trimestre'!E12+'III Trimestre'!E12)/3</f>
        <v>2675.7777777777778</v>
      </c>
      <c r="F12" s="5"/>
    </row>
    <row r="13" spans="1:7" x14ac:dyDescent="0.25">
      <c r="A13" s="4" t="s">
        <v>9</v>
      </c>
      <c r="B13" s="12">
        <f t="shared" si="0"/>
        <v>91439</v>
      </c>
      <c r="C13" s="12">
        <v>88238</v>
      </c>
      <c r="D13" s="12"/>
      <c r="E13" s="12">
        <v>3201</v>
      </c>
      <c r="F13" s="5"/>
    </row>
    <row r="15" spans="1:7" x14ac:dyDescent="0.25">
      <c r="A15" s="6" t="s">
        <v>10</v>
      </c>
    </row>
    <row r="16" spans="1:7" x14ac:dyDescent="0.25">
      <c r="A16" s="4" t="s">
        <v>57</v>
      </c>
      <c r="B16" s="5">
        <f>SUM(C16:G16)</f>
        <v>67620125797.513748</v>
      </c>
      <c r="C16" s="12">
        <f>+'I Trimestre'!C16+'II Trimestre'!C16+'III Trimestre'!C16</f>
        <v>52832222667</v>
      </c>
      <c r="D16" s="12"/>
      <c r="E16" s="12">
        <f>+'I Trimestre'!E16+'II Trimestre'!E16+'III Trimestre'!E16</f>
        <v>4960415045.0999994</v>
      </c>
      <c r="F16" s="12">
        <f>+'I Trimestre'!F16+'II Trimestre'!F16+'III Trimestre'!F16</f>
        <v>7946487685.4137506</v>
      </c>
      <c r="G16" s="12">
        <f>+'I Trimestre'!G16+'II Trimestre'!G16+'III Trimestre'!G16</f>
        <v>1881000400</v>
      </c>
    </row>
    <row r="17" spans="1:8" x14ac:dyDescent="0.25">
      <c r="A17" s="4" t="s">
        <v>58</v>
      </c>
      <c r="B17" s="5">
        <f t="shared" ref="B17:B19" si="1">SUM(C17:G17)</f>
        <v>72247613403.384995</v>
      </c>
      <c r="C17" s="12">
        <f>+'I Trimestre'!C17+'II Trimestre'!C17+'III Trimestre'!C17</f>
        <v>55689300000</v>
      </c>
      <c r="D17" s="12"/>
      <c r="E17" s="12">
        <f>+'I Trimestre'!E17+'II Trimestre'!E17+'III Trimestre'!E17</f>
        <v>5645700000</v>
      </c>
      <c r="F17" s="12">
        <f>+'I Trimestre'!F17+'II Trimestre'!F17+'III Trimestre'!F17</f>
        <v>8433563403.3850002</v>
      </c>
      <c r="G17" s="11">
        <f>+'I Trimestre'!G17+'II Trimestre'!G17+'III Trimestre'!G17</f>
        <v>2479050000</v>
      </c>
    </row>
    <row r="18" spans="1:8" x14ac:dyDescent="0.25">
      <c r="A18" s="4" t="s">
        <v>59</v>
      </c>
      <c r="B18" s="5">
        <f t="shared" si="1"/>
        <v>65536915361.199997</v>
      </c>
      <c r="C18" s="12">
        <f>+'I Trimestre'!C18+'II Trimestre'!C18+'III Trimestre'!C18</f>
        <v>36201179159.044556</v>
      </c>
      <c r="D18" s="12">
        <f>+'I Trimestre'!D18+'II Trimestre'!D18+'III Trimestre'!D18</f>
        <v>14480809863.75544</v>
      </c>
      <c r="E18" s="12">
        <f>+'I Trimestre'!E18+'II Trimestre'!E18+'III Trimestre'!E18</f>
        <v>4819962577.1000004</v>
      </c>
      <c r="F18" s="12">
        <f>+'I Trimestre'!F18+'II Trimestre'!F18+'III Trimestre'!F18</f>
        <v>7555913761.3000002</v>
      </c>
      <c r="G18" s="11">
        <f>+'I Trimestre'!G18+'II Trimestre'!G18+'III Trimestre'!G18</f>
        <v>2479050000</v>
      </c>
    </row>
    <row r="19" spans="1:8" x14ac:dyDescent="0.25">
      <c r="A19" s="4" t="s">
        <v>9</v>
      </c>
      <c r="B19" s="5">
        <f t="shared" si="1"/>
        <v>96580949387.699997</v>
      </c>
      <c r="C19" s="12">
        <v>74252400000</v>
      </c>
      <c r="D19" s="12"/>
      <c r="E19" s="12">
        <v>7748100000</v>
      </c>
      <c r="F19" s="12">
        <v>11275049387.700001</v>
      </c>
      <c r="G19" s="11">
        <v>3305400000</v>
      </c>
    </row>
    <row r="20" spans="1:8" x14ac:dyDescent="0.25">
      <c r="A20" s="4" t="s">
        <v>60</v>
      </c>
      <c r="B20" s="5">
        <f t="shared" ref="B20" si="2">SUM(C20:G20)</f>
        <v>63057865361.199997</v>
      </c>
      <c r="C20" s="12">
        <f>+'I Trimestre'!C20+'II Trimestre'!C20+'III Trimestre'!C20</f>
        <v>36201179159.044556</v>
      </c>
      <c r="D20" s="12">
        <f>+'I Trimestre'!D20+'II Trimestre'!D20+'III Trimestre'!D20</f>
        <v>14480809863.75544</v>
      </c>
      <c r="E20" s="12">
        <f>+'I Trimestre'!E20+'II Trimestre'!E20+'III Trimestre'!E20</f>
        <v>4819962577.1000004</v>
      </c>
      <c r="F20" s="12">
        <f>+'I Trimestre'!F20+'II Trimestre'!F20+'III Trimestre'!F20</f>
        <v>7555913761.3000002</v>
      </c>
      <c r="G20" s="11">
        <f>+'I Trimestre'!G20+'II Trimestre'!G20+'III Trimestre'!G20</f>
        <v>0</v>
      </c>
    </row>
    <row r="21" spans="1:8" x14ac:dyDescent="0.25">
      <c r="A21" s="14"/>
      <c r="B21" s="12"/>
      <c r="C21" s="12"/>
      <c r="D21" s="12"/>
      <c r="E21" s="12"/>
      <c r="F21" s="12"/>
      <c r="G21" s="14"/>
      <c r="H21" s="14"/>
    </row>
    <row r="22" spans="1:8" x14ac:dyDescent="0.25">
      <c r="A22" s="34" t="s">
        <v>12</v>
      </c>
      <c r="B22" s="12"/>
      <c r="C22" s="12"/>
      <c r="D22" s="12"/>
      <c r="E22" s="12"/>
      <c r="F22" s="12"/>
      <c r="G22" s="12"/>
      <c r="H22" s="14"/>
    </row>
    <row r="23" spans="1:8" x14ac:dyDescent="0.25">
      <c r="A23" s="35" t="s">
        <v>58</v>
      </c>
      <c r="B23" s="12">
        <f>B17</f>
        <v>72247613403.384995</v>
      </c>
      <c r="C23" s="12"/>
      <c r="D23" s="12"/>
      <c r="E23" s="12"/>
      <c r="F23" s="12"/>
      <c r="G23" s="12"/>
      <c r="H23" s="14"/>
    </row>
    <row r="24" spans="1:8" x14ac:dyDescent="0.25">
      <c r="A24" s="35" t="s">
        <v>59</v>
      </c>
      <c r="B24" s="12">
        <f>+'I Trimestre'!B24+'II Trimestre'!B24+'III Trimestre'!B24</f>
        <v>74927465361</v>
      </c>
      <c r="C24" s="12"/>
      <c r="D24" s="12"/>
      <c r="E24" s="12"/>
      <c r="F24" s="12"/>
      <c r="G24" s="12"/>
      <c r="H24" s="14"/>
    </row>
    <row r="25" spans="1:8" x14ac:dyDescent="0.25">
      <c r="A25" s="14"/>
      <c r="B25" s="14"/>
      <c r="C25" s="14"/>
      <c r="D25" s="14"/>
      <c r="E25" s="14"/>
      <c r="F25" s="14"/>
      <c r="G25" s="14"/>
      <c r="H25" s="14"/>
    </row>
    <row r="26" spans="1:8" x14ac:dyDescent="0.25">
      <c r="A26" s="14" t="s">
        <v>13</v>
      </c>
      <c r="B26" s="14"/>
      <c r="C26" s="14"/>
      <c r="D26" s="14"/>
      <c r="E26" s="14"/>
      <c r="F26" s="14"/>
      <c r="G26" s="14"/>
      <c r="H26" s="14"/>
    </row>
    <row r="27" spans="1:8" x14ac:dyDescent="0.25">
      <c r="A27" s="35" t="s">
        <v>61</v>
      </c>
      <c r="B27" s="36">
        <v>1.39</v>
      </c>
      <c r="C27" s="36">
        <v>1.39</v>
      </c>
      <c r="D27" s="36">
        <v>1.39</v>
      </c>
      <c r="E27" s="36">
        <v>1.39</v>
      </c>
      <c r="F27" s="36">
        <v>1.39</v>
      </c>
      <c r="G27" s="36">
        <v>1.39</v>
      </c>
      <c r="H27" s="14"/>
    </row>
    <row r="28" spans="1:8" x14ac:dyDescent="0.25">
      <c r="A28" s="35" t="s">
        <v>62</v>
      </c>
      <c r="B28" s="36">
        <v>1.46</v>
      </c>
      <c r="C28" s="36">
        <v>1.46</v>
      </c>
      <c r="D28" s="36">
        <v>1.46</v>
      </c>
      <c r="E28" s="36">
        <v>1.46</v>
      </c>
      <c r="F28" s="36">
        <v>1.46</v>
      </c>
      <c r="G28" s="36">
        <v>1.46</v>
      </c>
      <c r="H28" s="14"/>
    </row>
    <row r="29" spans="1:8" x14ac:dyDescent="0.25">
      <c r="A29" s="35" t="s">
        <v>16</v>
      </c>
      <c r="B29" s="13">
        <f>+C29+E29</f>
        <v>85025</v>
      </c>
      <c r="C29" s="13">
        <v>78777</v>
      </c>
      <c r="D29" s="13" t="s">
        <v>127</v>
      </c>
      <c r="E29" s="13">
        <v>6248</v>
      </c>
      <c r="F29" s="13"/>
      <c r="G29" s="13"/>
      <c r="H29" s="14"/>
    </row>
    <row r="30" spans="1:8" x14ac:dyDescent="0.25">
      <c r="A30" s="14"/>
      <c r="B30" s="14"/>
      <c r="C30" s="14"/>
      <c r="D30" s="14"/>
      <c r="E30" s="14"/>
      <c r="F30" s="14"/>
      <c r="G30" s="14"/>
      <c r="H30" s="14"/>
    </row>
    <row r="31" spans="1:8" x14ac:dyDescent="0.25">
      <c r="A31" s="37" t="s">
        <v>17</v>
      </c>
      <c r="B31" s="14"/>
      <c r="C31" s="14"/>
      <c r="D31" s="14"/>
      <c r="E31" s="14"/>
      <c r="F31" s="14"/>
      <c r="G31" s="14"/>
      <c r="H31" s="14"/>
    </row>
    <row r="32" spans="1:8" x14ac:dyDescent="0.25">
      <c r="A32" s="14" t="s">
        <v>63</v>
      </c>
      <c r="B32" s="12">
        <f>B16/B27</f>
        <v>48647572516.196945</v>
      </c>
      <c r="C32" s="12">
        <f t="shared" ref="C32:G32" si="3">C16/C27</f>
        <v>38008793285.611511</v>
      </c>
      <c r="D32" s="12"/>
      <c r="E32" s="12">
        <f t="shared" si="3"/>
        <v>3568643917.3381295</v>
      </c>
      <c r="F32" s="12">
        <f t="shared" si="3"/>
        <v>5716897615.4055767</v>
      </c>
      <c r="G32" s="12">
        <f t="shared" si="3"/>
        <v>1353237697.8417268</v>
      </c>
      <c r="H32" s="14"/>
    </row>
    <row r="33" spans="1:8" x14ac:dyDescent="0.25">
      <c r="A33" s="14" t="s">
        <v>64</v>
      </c>
      <c r="B33" s="12">
        <f>B18/B28</f>
        <v>44888298192.602737</v>
      </c>
      <c r="C33" s="12">
        <f t="shared" ref="C33:G33" si="4">C18/C28</f>
        <v>24795328191.126408</v>
      </c>
      <c r="D33" s="12">
        <f t="shared" si="4"/>
        <v>9918362920.3804379</v>
      </c>
      <c r="E33" s="12">
        <f t="shared" si="4"/>
        <v>3301344230.8904114</v>
      </c>
      <c r="F33" s="12">
        <f t="shared" si="4"/>
        <v>5175283398.1506853</v>
      </c>
      <c r="G33" s="12">
        <f t="shared" si="4"/>
        <v>1697979452.0547945</v>
      </c>
      <c r="H33" s="14"/>
    </row>
    <row r="34" spans="1:8" x14ac:dyDescent="0.25">
      <c r="A34" s="14" t="s">
        <v>65</v>
      </c>
      <c r="B34" s="12">
        <f>B32/B10</f>
        <v>554845.65643318836</v>
      </c>
      <c r="C34" s="12">
        <f t="shared" ref="C34:E34" si="5">C32/C10</f>
        <v>446164.96402877697</v>
      </c>
      <c r="D34" s="12"/>
      <c r="E34" s="12">
        <f t="shared" si="5"/>
        <v>1434534.6043165468</v>
      </c>
      <c r="F34" s="12"/>
      <c r="G34" s="12"/>
      <c r="H34" s="14"/>
    </row>
    <row r="35" spans="1:8" x14ac:dyDescent="0.25">
      <c r="A35" s="14" t="s">
        <v>66</v>
      </c>
      <c r="B35" s="12">
        <f>B33/B12</f>
        <v>492293.41528594174</v>
      </c>
      <c r="C35" s="12">
        <f t="shared" ref="C35:E35" si="6">C33/C12</f>
        <v>392220.81292206421</v>
      </c>
      <c r="D35" s="12">
        <f t="shared" si="6"/>
        <v>392209.29314849095</v>
      </c>
      <c r="E35" s="12">
        <f t="shared" si="6"/>
        <v>1233788.6420568766</v>
      </c>
      <c r="F35" s="12"/>
      <c r="G35" s="12"/>
      <c r="H35" s="14"/>
    </row>
    <row r="36" spans="1:8" x14ac:dyDescent="0.25">
      <c r="A36" s="14"/>
      <c r="B36" s="14"/>
      <c r="C36" s="14"/>
      <c r="D36" s="14"/>
      <c r="E36" s="14"/>
      <c r="F36" s="14"/>
      <c r="G36" s="14"/>
      <c r="H36" s="14"/>
    </row>
    <row r="37" spans="1:8" x14ac:dyDescent="0.25">
      <c r="A37" s="37" t="s">
        <v>22</v>
      </c>
      <c r="B37" s="14"/>
      <c r="C37" s="14"/>
      <c r="D37" s="14"/>
      <c r="E37" s="14"/>
      <c r="F37" s="14"/>
      <c r="G37" s="14"/>
      <c r="H37" s="14"/>
    </row>
    <row r="39" spans="1:8" x14ac:dyDescent="0.25">
      <c r="A39" s="1" t="s">
        <v>23</v>
      </c>
    </row>
    <row r="40" spans="1:8" x14ac:dyDescent="0.25">
      <c r="A40" s="1" t="s">
        <v>24</v>
      </c>
      <c r="B40" s="7">
        <f>((C40*C17+E40*E17)/(C17+E17))</f>
        <v>106.30497909419996</v>
      </c>
      <c r="C40" s="7">
        <f t="shared" ref="C40:F40" si="7">(C11)/C29*100</f>
        <v>112.00985059090851</v>
      </c>
      <c r="D40" s="7"/>
      <c r="E40" s="7">
        <f t="shared" si="7"/>
        <v>50.032010243277846</v>
      </c>
      <c r="F40" s="7" t="e">
        <f t="shared" si="7"/>
        <v>#DIV/0!</v>
      </c>
    </row>
    <row r="41" spans="1:8" x14ac:dyDescent="0.25">
      <c r="A41" s="14" t="s">
        <v>25</v>
      </c>
      <c r="B41" s="8">
        <f>((C41*C18+E41*E18)/(C18+E18))</f>
        <v>75.851860488941014</v>
      </c>
      <c r="C41" s="8">
        <f t="shared" ref="C41:F41" si="8">(C12)/C29*100</f>
        <v>80.249029256988436</v>
      </c>
      <c r="D41" s="8"/>
      <c r="E41" s="8">
        <f t="shared" si="8"/>
        <v>42.826148812064311</v>
      </c>
      <c r="F41" s="8" t="e">
        <f t="shared" si="8"/>
        <v>#DIV/0!</v>
      </c>
      <c r="G41" s="14"/>
      <c r="H41" s="14"/>
    </row>
    <row r="42" spans="1:8" x14ac:dyDescent="0.25">
      <c r="A42" s="14"/>
      <c r="B42" s="14"/>
      <c r="C42" s="14"/>
      <c r="D42" s="14"/>
      <c r="E42" s="14"/>
      <c r="F42" s="14"/>
      <c r="G42" s="14"/>
      <c r="H42" s="14"/>
    </row>
    <row r="43" spans="1:8" x14ac:dyDescent="0.25">
      <c r="A43" s="14" t="s">
        <v>26</v>
      </c>
      <c r="B43" s="14"/>
      <c r="C43" s="14"/>
      <c r="D43" s="14"/>
      <c r="E43" s="14"/>
      <c r="F43" s="14"/>
      <c r="G43" s="14"/>
      <c r="H43" s="14"/>
    </row>
    <row r="44" spans="1:8" x14ac:dyDescent="0.25">
      <c r="A44" s="14" t="s">
        <v>27</v>
      </c>
      <c r="B44" s="8">
        <f>B12/B11*100</f>
        <v>99.800796812748999</v>
      </c>
      <c r="C44" s="8">
        <f>(C12+D12)/C11*100</f>
        <v>100.3039758632587</v>
      </c>
      <c r="D44" s="8"/>
      <c r="E44" s="8">
        <f>E12/E11*100</f>
        <v>85.597497689628213</v>
      </c>
      <c r="F44" s="8"/>
      <c r="G44" s="14"/>
      <c r="H44" s="14"/>
    </row>
    <row r="45" spans="1:8" x14ac:dyDescent="0.25">
      <c r="A45" s="14" t="s">
        <v>28</v>
      </c>
      <c r="B45" s="8">
        <f>B18/B17*100</f>
        <v>90.711529798615359</v>
      </c>
      <c r="C45" s="8">
        <f>(C18+D18)/C17*100</f>
        <v>91.008486410854502</v>
      </c>
      <c r="D45" s="8"/>
      <c r="E45" s="8">
        <f>E18/E17*100</f>
        <v>85.374047099562517</v>
      </c>
      <c r="F45" s="8">
        <f>F18/F17*100</f>
        <v>89.593371151597253</v>
      </c>
      <c r="G45" s="8">
        <f>G18/G17*100</f>
        <v>100</v>
      </c>
      <c r="H45" s="14"/>
    </row>
    <row r="46" spans="1:8" x14ac:dyDescent="0.25">
      <c r="A46" s="14" t="s">
        <v>29</v>
      </c>
      <c r="B46" s="8">
        <f>AVERAGE(B44:B45)</f>
        <v>95.256163305682179</v>
      </c>
      <c r="C46" s="8">
        <f t="shared" ref="C46:E46" si="9">AVERAGE(C44:C45)</f>
        <v>95.656231137056608</v>
      </c>
      <c r="D46" s="8"/>
      <c r="E46" s="8">
        <f t="shared" si="9"/>
        <v>85.485772394595358</v>
      </c>
      <c r="F46" s="8"/>
      <c r="G46" s="8"/>
      <c r="H46" s="14"/>
    </row>
    <row r="47" spans="1:8" x14ac:dyDescent="0.25">
      <c r="A47" s="14"/>
      <c r="B47" s="8"/>
      <c r="C47" s="8"/>
      <c r="D47" s="8"/>
      <c r="E47" s="8"/>
      <c r="F47" s="8"/>
      <c r="G47" s="8"/>
      <c r="H47" s="14"/>
    </row>
    <row r="48" spans="1:8" x14ac:dyDescent="0.25">
      <c r="A48" s="14" t="s">
        <v>30</v>
      </c>
      <c r="B48" s="14"/>
      <c r="C48" s="14"/>
      <c r="D48" s="14"/>
      <c r="E48" s="14"/>
      <c r="F48" s="14"/>
      <c r="G48" s="14"/>
      <c r="H48" s="14"/>
    </row>
    <row r="49" spans="1:8" x14ac:dyDescent="0.25">
      <c r="A49" s="14" t="s">
        <v>31</v>
      </c>
      <c r="B49" s="8">
        <f>B12/(B13*4/3)*100</f>
        <v>74.789203731449376</v>
      </c>
      <c r="C49" s="8">
        <f>(C12+D12)/(C13*4/3)*100</f>
        <v>75.227981897444025</v>
      </c>
      <c r="D49" s="8"/>
      <c r="E49" s="8">
        <f t="shared" ref="E49" si="10">E12/(E13*4/3)*100</f>
        <v>62.693949807351871</v>
      </c>
      <c r="F49" s="8"/>
      <c r="G49" s="8"/>
      <c r="H49" s="14"/>
    </row>
    <row r="50" spans="1:8" x14ac:dyDescent="0.25">
      <c r="A50" s="14" t="s">
        <v>32</v>
      </c>
      <c r="B50" s="8">
        <f>B18/B19*100</f>
        <v>67.856979846116943</v>
      </c>
      <c r="C50" s="8">
        <f>(C18+D18)/C19*100</f>
        <v>68.256364808140873</v>
      </c>
      <c r="D50" s="8"/>
      <c r="E50" s="8">
        <f>E18/E19*100</f>
        <v>62.208316582129818</v>
      </c>
      <c r="F50" s="8">
        <f>F18/F19*100</f>
        <v>67.014462655416651</v>
      </c>
      <c r="G50" s="8">
        <f>G18/G19*100</f>
        <v>75</v>
      </c>
      <c r="H50" s="14"/>
    </row>
    <row r="51" spans="1:8" x14ac:dyDescent="0.25">
      <c r="A51" s="14" t="s">
        <v>33</v>
      </c>
      <c r="B51" s="8">
        <f>(B49+B50)/2</f>
        <v>71.323091788783159</v>
      </c>
      <c r="C51" s="8">
        <f t="shared" ref="C51:G51" si="11">(C49+C50)/2</f>
        <v>71.742173352792449</v>
      </c>
      <c r="D51" s="8"/>
      <c r="E51" s="8">
        <f t="shared" si="11"/>
        <v>62.451133194740848</v>
      </c>
      <c r="F51" s="8">
        <f t="shared" si="11"/>
        <v>33.507231327708325</v>
      </c>
      <c r="G51" s="8">
        <f t="shared" si="11"/>
        <v>37.5</v>
      </c>
      <c r="H51" s="14"/>
    </row>
    <row r="52" spans="1:8" x14ac:dyDescent="0.25">
      <c r="A52" s="14"/>
      <c r="B52" s="14"/>
      <c r="C52" s="14"/>
      <c r="D52" s="14"/>
      <c r="E52" s="14"/>
      <c r="F52" s="14"/>
      <c r="G52" s="14"/>
      <c r="H52" s="14"/>
    </row>
    <row r="53" spans="1:8" x14ac:dyDescent="0.25">
      <c r="A53" s="14" t="s">
        <v>100</v>
      </c>
      <c r="B53" s="14"/>
      <c r="C53" s="14"/>
      <c r="D53" s="14"/>
      <c r="E53" s="14"/>
      <c r="F53" s="14"/>
      <c r="G53" s="14"/>
      <c r="H53" s="14"/>
    </row>
    <row r="54" spans="1:8" x14ac:dyDescent="0.25">
      <c r="A54" s="14" t="s">
        <v>34</v>
      </c>
      <c r="B54" s="8">
        <f>(B20/B18)*100</f>
        <v>96.217322731262271</v>
      </c>
      <c r="C54" s="8">
        <f t="shared" ref="C54:F54" si="12">(C20/C18)*100</f>
        <v>100</v>
      </c>
      <c r="D54" s="8">
        <f t="shared" si="12"/>
        <v>100</v>
      </c>
      <c r="E54" s="8">
        <f t="shared" si="12"/>
        <v>100</v>
      </c>
      <c r="F54" s="8">
        <f t="shared" si="12"/>
        <v>100</v>
      </c>
      <c r="G54" s="8"/>
      <c r="H54" s="14"/>
    </row>
    <row r="55" spans="1:8" x14ac:dyDescent="0.25">
      <c r="A55" s="14"/>
      <c r="B55" s="14"/>
      <c r="C55" s="14"/>
      <c r="D55" s="14"/>
      <c r="E55" s="14"/>
      <c r="F55" s="14"/>
      <c r="G55" s="14"/>
      <c r="H55" s="14"/>
    </row>
    <row r="56" spans="1:8" x14ac:dyDescent="0.25">
      <c r="A56" s="14" t="s">
        <v>35</v>
      </c>
      <c r="B56" s="14"/>
      <c r="C56" s="14"/>
      <c r="D56" s="14"/>
      <c r="E56" s="14"/>
      <c r="F56" s="14"/>
      <c r="G56" s="14"/>
      <c r="H56" s="14"/>
    </row>
    <row r="57" spans="1:8" x14ac:dyDescent="0.25">
      <c r="A57" s="14" t="s">
        <v>36</v>
      </c>
      <c r="B57" s="8">
        <f>((B12/B10)-1)*100</f>
        <v>3.9968368987921554</v>
      </c>
      <c r="C57" s="8">
        <f>(((C12+D12)/C10)-1)*100</f>
        <v>3.8927364975023027</v>
      </c>
      <c r="D57" s="8"/>
      <c r="E57" s="8">
        <f>((E12/E10)-1)*100</f>
        <v>7.5617490732055925</v>
      </c>
      <c r="F57" s="8"/>
      <c r="G57" s="8"/>
      <c r="H57" s="14"/>
    </row>
    <row r="58" spans="1:8" x14ac:dyDescent="0.25">
      <c r="A58" s="14" t="s">
        <v>37</v>
      </c>
      <c r="B58" s="8">
        <f>((B33/B32)-1)*100</f>
        <v>-7.7275681583959361</v>
      </c>
      <c r="C58" s="8">
        <f>(((C33+D33)/C32)-1)*100</f>
        <v>-8.6693154116840976</v>
      </c>
      <c r="D58" s="8"/>
      <c r="E58" s="8">
        <f t="shared" ref="E58:G58" si="13">((E33/E32)-1)*100</f>
        <v>-7.4902313775003453</v>
      </c>
      <c r="F58" s="8">
        <f t="shared" si="13"/>
        <v>-9.4739184377796057</v>
      </c>
      <c r="G58" s="8">
        <f t="shared" si="13"/>
        <v>25.475328891804814</v>
      </c>
      <c r="H58" s="14"/>
    </row>
    <row r="59" spans="1:8" x14ac:dyDescent="0.25">
      <c r="A59" s="14" t="s">
        <v>38</v>
      </c>
      <c r="B59" s="8">
        <f>((B35/B34)-1)*100</f>
        <v>-11.273809287678693</v>
      </c>
      <c r="C59" s="8">
        <f>(((C35+D35)/(C34*2))-1)*100</f>
        <v>-12.09192010648772</v>
      </c>
      <c r="D59" s="8"/>
      <c r="E59" s="8">
        <f t="shared" ref="E59" si="14">((E35/E34)-1)*100</f>
        <v>-13.993804098947571</v>
      </c>
      <c r="F59" s="8"/>
      <c r="G59" s="8"/>
      <c r="H59" s="14"/>
    </row>
    <row r="60" spans="1:8" x14ac:dyDescent="0.25">
      <c r="A60" s="14"/>
      <c r="B60" s="8"/>
      <c r="C60" s="8"/>
      <c r="D60" s="8"/>
      <c r="E60" s="8"/>
      <c r="F60" s="8"/>
      <c r="G60" s="8"/>
      <c r="H60" s="14"/>
    </row>
    <row r="61" spans="1:8" x14ac:dyDescent="0.25">
      <c r="A61" s="14" t="s">
        <v>39</v>
      </c>
      <c r="B61" s="14"/>
      <c r="C61" s="14"/>
      <c r="D61" s="14"/>
      <c r="E61" s="14"/>
      <c r="F61" s="14"/>
      <c r="G61" s="14"/>
      <c r="H61" s="14"/>
    </row>
    <row r="62" spans="1:8" x14ac:dyDescent="0.25">
      <c r="A62" s="14" t="s">
        <v>101</v>
      </c>
      <c r="B62" s="12">
        <f>B17/(B11*9)</f>
        <v>87862.972290794089</v>
      </c>
      <c r="C62" s="12">
        <f t="shared" ref="C62:E62" si="15">C17/(C11*9)</f>
        <v>70125.116163104336</v>
      </c>
      <c r="D62" s="12"/>
      <c r="E62" s="12">
        <f t="shared" si="15"/>
        <v>200671.78502879079</v>
      </c>
      <c r="F62" s="12"/>
      <c r="G62" s="12"/>
      <c r="H62" s="14"/>
    </row>
    <row r="63" spans="1:8" x14ac:dyDescent="0.25">
      <c r="A63" s="14" t="s">
        <v>102</v>
      </c>
      <c r="B63" s="12">
        <f>B18/(B12*9)</f>
        <v>79860.931813052768</v>
      </c>
      <c r="C63" s="12">
        <f>(C18+D18)/(C12*9)</f>
        <v>89078.299041760401</v>
      </c>
      <c r="D63" s="12"/>
      <c r="E63" s="12">
        <f t="shared" ref="E63" si="16">E18/(E12*9)</f>
        <v>200147.93526700442</v>
      </c>
      <c r="F63" s="12"/>
      <c r="G63" s="12"/>
      <c r="H63" s="14"/>
    </row>
    <row r="64" spans="1:8" x14ac:dyDescent="0.25">
      <c r="A64" s="14" t="s">
        <v>40</v>
      </c>
      <c r="B64" s="8">
        <f>(B62/B63)*B46</f>
        <v>104.80080118081679</v>
      </c>
      <c r="C64" s="8">
        <f t="shared" ref="C64:E64" si="17">(C62/C63)*C46</f>
        <v>75.303462149250848</v>
      </c>
      <c r="D64" s="8"/>
      <c r="E64" s="8">
        <f t="shared" si="17"/>
        <v>85.709515404710814</v>
      </c>
      <c r="F64" s="8"/>
      <c r="G64" s="8"/>
      <c r="H64" s="14"/>
    </row>
    <row r="65" spans="1:8" x14ac:dyDescent="0.25">
      <c r="A65" s="8" t="s">
        <v>110</v>
      </c>
      <c r="B65" s="12">
        <f>B17/B11</f>
        <v>790766.75061714672</v>
      </c>
      <c r="C65" s="12">
        <f t="shared" ref="C65:E66" si="18">C17/C11</f>
        <v>631126.04546793899</v>
      </c>
      <c r="D65" s="12"/>
      <c r="E65" s="12">
        <f t="shared" si="18"/>
        <v>1806046.0652591172</v>
      </c>
      <c r="F65" s="8"/>
      <c r="G65" s="8"/>
      <c r="H65" s="14"/>
    </row>
    <row r="66" spans="1:8" x14ac:dyDescent="0.25">
      <c r="A66" s="8" t="s">
        <v>111</v>
      </c>
      <c r="B66" s="12">
        <f>B18/B12</f>
        <v>718748.38631747488</v>
      </c>
      <c r="C66" s="12">
        <f>(C18+D18)/C12</f>
        <v>801704.69137584348</v>
      </c>
      <c r="D66" s="12"/>
      <c r="E66" s="12">
        <f t="shared" si="18"/>
        <v>1801331.4174030398</v>
      </c>
      <c r="F66" s="8"/>
      <c r="G66" s="8"/>
      <c r="H66" s="14"/>
    </row>
    <row r="67" spans="1:8" x14ac:dyDescent="0.25">
      <c r="A67" s="14"/>
      <c r="B67" s="8"/>
      <c r="C67" s="8"/>
      <c r="D67" s="8"/>
      <c r="E67" s="8"/>
      <c r="F67" s="8"/>
      <c r="G67" s="8"/>
      <c r="H67" s="14"/>
    </row>
    <row r="68" spans="1:8" x14ac:dyDescent="0.25">
      <c r="A68" s="14" t="s">
        <v>41</v>
      </c>
      <c r="B68" s="8"/>
      <c r="C68" s="8"/>
      <c r="D68" s="8"/>
      <c r="E68" s="8"/>
      <c r="F68" s="8"/>
      <c r="G68" s="8"/>
      <c r="H68" s="14"/>
    </row>
    <row r="69" spans="1:8" x14ac:dyDescent="0.25">
      <c r="A69" s="14" t="s">
        <v>42</v>
      </c>
      <c r="B69" s="8">
        <f>(B24/B23)*100</f>
        <v>103.70926018365812</v>
      </c>
      <c r="C69" s="8"/>
      <c r="D69" s="8"/>
      <c r="E69" s="8"/>
      <c r="F69" s="8"/>
      <c r="G69" s="8"/>
      <c r="H69" s="14"/>
    </row>
    <row r="70" spans="1:8" x14ac:dyDescent="0.25">
      <c r="A70" s="14" t="s">
        <v>43</v>
      </c>
      <c r="B70" s="8">
        <f>(B18/B24)*100</f>
        <v>87.467145786186151</v>
      </c>
      <c r="C70" s="8"/>
      <c r="D70" s="8"/>
      <c r="E70" s="8"/>
      <c r="F70" s="8"/>
      <c r="G70" s="8"/>
      <c r="H70" s="14"/>
    </row>
    <row r="71" spans="1:8" ht="15.75" thickBot="1" x14ac:dyDescent="0.3">
      <c r="A71" s="38"/>
      <c r="B71" s="38"/>
      <c r="C71" s="38"/>
      <c r="D71" s="38"/>
      <c r="E71" s="38"/>
      <c r="F71" s="38"/>
      <c r="G71" s="38"/>
      <c r="H71" s="14"/>
    </row>
    <row r="72" spans="1:8" ht="15.75" thickTop="1" x14ac:dyDescent="0.25"/>
    <row r="73" spans="1:8" x14ac:dyDescent="0.25">
      <c r="A73" s="1" t="s">
        <v>55</v>
      </c>
    </row>
    <row r="74" spans="1:8" x14ac:dyDescent="0.25">
      <c r="A74" s="1" t="s">
        <v>116</v>
      </c>
    </row>
    <row r="75" spans="1:8" x14ac:dyDescent="0.25">
      <c r="A75" s="1" t="s">
        <v>117</v>
      </c>
      <c r="B75" s="9"/>
      <c r="C75" s="9"/>
      <c r="D75" s="9"/>
      <c r="E75" s="9"/>
    </row>
    <row r="76" spans="1:8" x14ac:dyDescent="0.25">
      <c r="A76" s="1" t="s">
        <v>118</v>
      </c>
    </row>
    <row r="78" spans="1:8" x14ac:dyDescent="0.25">
      <c r="A78" s="1" t="s">
        <v>119</v>
      </c>
    </row>
    <row r="79" spans="1:8" x14ac:dyDescent="0.25">
      <c r="A79" s="1" t="s">
        <v>121</v>
      </c>
    </row>
    <row r="80" spans="1:8" x14ac:dyDescent="0.25">
      <c r="A80" s="1" t="s">
        <v>120</v>
      </c>
    </row>
    <row r="81" spans="1:1" x14ac:dyDescent="0.25">
      <c r="A81" s="1" t="s">
        <v>122</v>
      </c>
    </row>
    <row r="82" spans="1:1" x14ac:dyDescent="0.25">
      <c r="A82" s="16" t="s">
        <v>123</v>
      </c>
    </row>
    <row r="83" spans="1:1" x14ac:dyDescent="0.25">
      <c r="A83" s="16" t="s">
        <v>124</v>
      </c>
    </row>
  </sheetData>
  <mergeCells count="7">
    <mergeCell ref="A2:G2"/>
    <mergeCell ref="A4:A5"/>
    <mergeCell ref="B4:B5"/>
    <mergeCell ref="C4:E4"/>
    <mergeCell ref="F4:F5"/>
    <mergeCell ref="G4:G5"/>
    <mergeCell ref="C5:D5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83"/>
  <sheetViews>
    <sheetView topLeftCell="A109" workbookViewId="0">
      <selection activeCell="F11" sqref="F11"/>
    </sheetView>
  </sheetViews>
  <sheetFormatPr baseColWidth="10" defaultRowHeight="15" x14ac:dyDescent="0.25"/>
  <cols>
    <col min="1" max="1" width="55.140625" style="18" customWidth="1"/>
    <col min="2" max="2" width="16.140625" style="18" customWidth="1"/>
    <col min="3" max="3" width="17.85546875" style="18" bestFit="1" customWidth="1"/>
    <col min="4" max="4" width="17" style="18" customWidth="1"/>
    <col min="5" max="5" width="16.85546875" style="18" bestFit="1" customWidth="1"/>
    <col min="6" max="6" width="17.85546875" style="18" bestFit="1" customWidth="1"/>
    <col min="7" max="7" width="17.7109375" style="18" bestFit="1" customWidth="1"/>
    <col min="8" max="16384" width="11.42578125" style="18"/>
  </cols>
  <sheetData>
    <row r="2" spans="1:7" ht="15.75" x14ac:dyDescent="0.25">
      <c r="A2" s="27" t="s">
        <v>129</v>
      </c>
      <c r="B2" s="27"/>
      <c r="C2" s="27"/>
      <c r="D2" s="27"/>
      <c r="E2" s="27"/>
      <c r="F2" s="27"/>
      <c r="G2" s="27"/>
    </row>
    <row r="4" spans="1:7" x14ac:dyDescent="0.25">
      <c r="A4" s="25" t="s">
        <v>1</v>
      </c>
      <c r="B4" s="25" t="s">
        <v>105</v>
      </c>
      <c r="C4" s="28" t="s">
        <v>2</v>
      </c>
      <c r="D4" s="28"/>
      <c r="E4" s="28"/>
      <c r="F4" s="25" t="s">
        <v>3</v>
      </c>
      <c r="G4" s="25" t="s">
        <v>4</v>
      </c>
    </row>
    <row r="5" spans="1:7" ht="15.75" thickBot="1" x14ac:dyDescent="0.3">
      <c r="A5" s="26"/>
      <c r="B5" s="26"/>
      <c r="C5" s="24" t="s">
        <v>106</v>
      </c>
      <c r="D5" s="24"/>
      <c r="E5" s="19" t="s">
        <v>107</v>
      </c>
      <c r="F5" s="26"/>
      <c r="G5" s="26"/>
    </row>
    <row r="6" spans="1:7" ht="15.75" thickTop="1" x14ac:dyDescent="0.25">
      <c r="C6" s="20" t="s">
        <v>126</v>
      </c>
      <c r="D6" s="20" t="s">
        <v>125</v>
      </c>
    </row>
    <row r="7" spans="1:7" x14ac:dyDescent="0.25">
      <c r="A7" s="21" t="s">
        <v>5</v>
      </c>
    </row>
    <row r="9" spans="1:7" x14ac:dyDescent="0.25">
      <c r="A9" s="18" t="s">
        <v>114</v>
      </c>
    </row>
    <row r="10" spans="1:7" x14ac:dyDescent="0.25">
      <c r="A10" s="22" t="s">
        <v>90</v>
      </c>
      <c r="B10" s="13">
        <f>SUM(C10:G10)</f>
        <v>88230.5</v>
      </c>
      <c r="C10" s="18">
        <f>(+'I Trimestre'!C10+'II Trimestre'!C10+'III Trimestre'!C10+'IV Trimestre'!C10)/4</f>
        <v>85729.166666666672</v>
      </c>
      <c r="E10" s="18">
        <f>(+'I Trimestre'!E10+'II Trimestre'!E10+'III Trimestre'!E10+'IV Trimestre'!E10)/4</f>
        <v>2501.3333333333335</v>
      </c>
    </row>
    <row r="11" spans="1:7" x14ac:dyDescent="0.25">
      <c r="A11" s="22" t="s">
        <v>91</v>
      </c>
      <c r="B11" s="13">
        <f t="shared" ref="B11:B13" si="0">SUM(C11:G11)</f>
        <v>91439</v>
      </c>
      <c r="C11" s="18">
        <f>(+'I Trimestre'!C11+'II Trimestre'!C11+'III Trimestre'!C11+'IV Trimestre'!C11)/4</f>
        <v>88238</v>
      </c>
      <c r="E11" s="18">
        <f>(+'I Trimestre'!E11+'II Trimestre'!E11+'III Trimestre'!E11+'IV Trimestre'!E11)/4</f>
        <v>3201</v>
      </c>
    </row>
    <row r="12" spans="1:7" x14ac:dyDescent="0.25">
      <c r="A12" s="22" t="s">
        <v>92</v>
      </c>
      <c r="B12" s="13">
        <f t="shared" si="0"/>
        <v>91529.000000000015</v>
      </c>
      <c r="C12" s="18">
        <f>(+'I Trimestre'!C12+'II Trimestre'!C12+'III Trimestre'!C12+'IV Trimestre'!C12)/4</f>
        <v>63458.666666666672</v>
      </c>
      <c r="D12" s="18">
        <f>(+'I Trimestre'!D12+'II Trimestre'!D12+'III Trimestre'!D12+'IV Trimestre'!D12)/4</f>
        <v>25363.916666666664</v>
      </c>
      <c r="E12" s="18">
        <f>(+'I Trimestre'!E12+'II Trimestre'!E12+'III Trimestre'!E12+'IV Trimestre'!E12)/4</f>
        <v>2706.416666666667</v>
      </c>
    </row>
    <row r="13" spans="1:7" x14ac:dyDescent="0.25">
      <c r="A13" s="22" t="s">
        <v>9</v>
      </c>
      <c r="B13" s="13">
        <f t="shared" si="0"/>
        <v>91439</v>
      </c>
      <c r="C13" s="13">
        <v>88238</v>
      </c>
      <c r="D13" s="13"/>
      <c r="E13" s="13">
        <v>3201</v>
      </c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47" t="s">
        <v>10</v>
      </c>
      <c r="B15" s="13"/>
      <c r="C15" s="13"/>
      <c r="D15" s="13"/>
      <c r="E15" s="13"/>
      <c r="F15" s="13"/>
      <c r="G15" s="13"/>
    </row>
    <row r="16" spans="1:7" x14ac:dyDescent="0.25">
      <c r="A16" s="46" t="s">
        <v>90</v>
      </c>
      <c r="B16" s="13">
        <f>SUM(C16:G16)</f>
        <v>97866733281.443741</v>
      </c>
      <c r="C16" s="13">
        <f>+'I Trimestre'!C16+'II Trimestre'!C16+'III Trimestre'!C16+'IV Trimestre'!C16</f>
        <v>76961580858.712631</v>
      </c>
      <c r="D16" s="13"/>
      <c r="E16" s="13">
        <f>+'I Trimestre'!E16+'II Trimestre'!E16+'III Trimestre'!E16+'IV Trimestre'!E16</f>
        <v>7218537510.6873703</v>
      </c>
      <c r="F16" s="13">
        <f>+'I Trimestre'!F16+'II Trimestre'!F16+'III Trimestre'!F16+'IV Trimestre'!F16</f>
        <v>10661615012.043751</v>
      </c>
      <c r="G16" s="13">
        <f>+'I Trimestre'!G16+'II Trimestre'!G16+'III Trimestre'!G16+'IV Trimestre'!G16</f>
        <v>3024999900</v>
      </c>
    </row>
    <row r="17" spans="1:16" x14ac:dyDescent="0.25">
      <c r="A17" s="46" t="s">
        <v>91</v>
      </c>
      <c r="B17" s="13">
        <f t="shared" ref="B17:B19" si="1">SUM(C17:G17)</f>
        <v>103390063425.465</v>
      </c>
      <c r="C17" s="13">
        <f>+'I Trimestre'!C17+'II Trimestre'!C17+'III Trimestre'!C17+'IV Trimestre'!C17</f>
        <v>80368777741.162811</v>
      </c>
      <c r="D17" s="13"/>
      <c r="E17" s="13">
        <f>+'I Trimestre'!E17+'II Trimestre'!E17+'III Trimestre'!E17+'IV Trimestre'!E17</f>
        <v>8440822258.8371925</v>
      </c>
      <c r="F17" s="13">
        <f>+'I Trimestre'!F17+'II Trimestre'!F17+'III Trimestre'!F17+'IV Trimestre'!F17</f>
        <v>11275063425.465</v>
      </c>
      <c r="G17" s="13">
        <f>+'I Trimestre'!G17+'II Trimestre'!G17+'III Trimestre'!G17+'IV Trimestre'!G17</f>
        <v>3305400000</v>
      </c>
    </row>
    <row r="18" spans="1:16" x14ac:dyDescent="0.25">
      <c r="A18" s="46" t="s">
        <v>92</v>
      </c>
      <c r="B18" s="13">
        <f t="shared" si="1"/>
        <v>96858466724.899994</v>
      </c>
      <c r="C18" s="13">
        <f>+'I Trimestre'!C18+'II Trimestre'!C18+'III Trimestre'!C18+'IV Trimestre'!C18</f>
        <v>53780593697.956886</v>
      </c>
      <c r="D18" s="13">
        <f>+'I Trimestre'!D18+'II Trimestre'!D18+'III Trimestre'!D18+'IV Trimestre'!D18</f>
        <v>21492676557.919243</v>
      </c>
      <c r="E18" s="13">
        <f>+'I Trimestre'!E18+'II Trimestre'!E18+'III Trimestre'!E18+'IV Trimestre'!E18</f>
        <v>7106887514.4238625</v>
      </c>
      <c r="F18" s="13">
        <f>+'I Trimestre'!F18+'II Trimestre'!F18+'III Trimestre'!F18+'IV Trimestre'!F18</f>
        <v>11172908954.6</v>
      </c>
      <c r="G18" s="13">
        <f>+'I Trimestre'!G18+'II Trimestre'!G18+'III Trimestre'!G18+'IV Trimestre'!G18</f>
        <v>3305400000</v>
      </c>
    </row>
    <row r="19" spans="1:16" x14ac:dyDescent="0.25">
      <c r="A19" s="46" t="s">
        <v>9</v>
      </c>
      <c r="B19" s="13">
        <f t="shared" si="1"/>
        <v>96580949387.699997</v>
      </c>
      <c r="C19" s="13">
        <v>74252400000</v>
      </c>
      <c r="D19" s="13"/>
      <c r="E19" s="13">
        <v>7748100000</v>
      </c>
      <c r="F19" s="13">
        <v>11275049387.700001</v>
      </c>
      <c r="G19" s="13">
        <v>3305400000</v>
      </c>
    </row>
    <row r="20" spans="1:16" x14ac:dyDescent="0.25">
      <c r="A20" s="46" t="s">
        <v>93</v>
      </c>
      <c r="B20" s="13">
        <f t="shared" ref="B20" si="2">SUM(C20:G20)</f>
        <v>93553066724.899994</v>
      </c>
      <c r="C20" s="13">
        <f>+'I Trimestre'!C20+'II Trimestre'!C20+'III Trimestre'!C20+'IV Trimestre'!C20</f>
        <v>53780593697.956886</v>
      </c>
      <c r="D20" s="13">
        <f>+'I Trimestre'!D20+'II Trimestre'!D20+'III Trimestre'!D20+'IV Trimestre'!D20</f>
        <v>21492676557.919243</v>
      </c>
      <c r="E20" s="13">
        <f>+'I Trimestre'!E20+'II Trimestre'!E20+'III Trimestre'!E20+'IV Trimestre'!E20</f>
        <v>7106887514.4238625</v>
      </c>
      <c r="F20" s="13">
        <f>+'I Trimestre'!F20+'II Trimestre'!F20+'III Trimestre'!F20+'IV Trimestre'!F20</f>
        <v>11172908954.6</v>
      </c>
      <c r="G20" s="13"/>
    </row>
    <row r="21" spans="1:16" x14ac:dyDescent="0.25">
      <c r="A21" s="13"/>
      <c r="B21" s="13"/>
      <c r="C21" s="13"/>
      <c r="D21" s="13"/>
      <c r="E21" s="13"/>
      <c r="F21" s="13"/>
      <c r="G21" s="13"/>
    </row>
    <row r="22" spans="1:16" x14ac:dyDescent="0.25">
      <c r="A22" s="47" t="s">
        <v>12</v>
      </c>
      <c r="B22" s="13"/>
      <c r="C22" s="13"/>
      <c r="D22" s="13"/>
      <c r="E22" s="13"/>
      <c r="F22" s="13"/>
      <c r="G22" s="13"/>
    </row>
    <row r="23" spans="1:16" x14ac:dyDescent="0.25">
      <c r="A23" s="46" t="s">
        <v>91</v>
      </c>
      <c r="B23" s="13">
        <f>B17</f>
        <v>103390063425.465</v>
      </c>
      <c r="C23" s="13"/>
      <c r="D23" s="13"/>
      <c r="E23" s="13"/>
      <c r="F23" s="13"/>
      <c r="G23" s="13"/>
      <c r="P23" s="10">
        <f>34.8-31.9</f>
        <v>2.8999999999999986</v>
      </c>
    </row>
    <row r="24" spans="1:16" x14ac:dyDescent="0.25">
      <c r="A24" s="46" t="s">
        <v>92</v>
      </c>
      <c r="B24" s="13">
        <f>+'I Trimestre'!B24+'II Trimestre'!B24+'III Trimestre'!B24+'IV Trimestre'!B24</f>
        <v>97282766724.600006</v>
      </c>
      <c r="C24" s="13"/>
      <c r="D24" s="13"/>
      <c r="E24" s="13"/>
      <c r="F24" s="13"/>
      <c r="G24" s="13"/>
    </row>
    <row r="25" spans="1:16" x14ac:dyDescent="0.25">
      <c r="A25" s="13"/>
      <c r="B25" s="13"/>
      <c r="C25" s="13"/>
      <c r="D25" s="13"/>
      <c r="E25" s="13"/>
      <c r="F25" s="13"/>
      <c r="G25" s="13"/>
    </row>
    <row r="26" spans="1:16" x14ac:dyDescent="0.25">
      <c r="A26" s="13" t="s">
        <v>13</v>
      </c>
      <c r="B26" s="13"/>
      <c r="C26" s="13"/>
      <c r="D26" s="13"/>
      <c r="E26" s="13"/>
      <c r="F26" s="13"/>
      <c r="G26" s="13"/>
    </row>
    <row r="27" spans="1:16" x14ac:dyDescent="0.25">
      <c r="A27" s="46" t="s">
        <v>94</v>
      </c>
      <c r="B27" s="13">
        <v>1.4</v>
      </c>
      <c r="C27" s="13">
        <v>1.4</v>
      </c>
      <c r="D27" s="13">
        <v>1.4</v>
      </c>
      <c r="E27" s="13">
        <v>1.4</v>
      </c>
      <c r="F27" s="13">
        <v>1.4</v>
      </c>
      <c r="G27" s="13">
        <v>1.4</v>
      </c>
    </row>
    <row r="28" spans="1:16" x14ac:dyDescent="0.25">
      <c r="A28" s="46" t="s">
        <v>95</v>
      </c>
      <c r="B28" s="13">
        <v>1.47</v>
      </c>
      <c r="C28" s="13">
        <v>1.47</v>
      </c>
      <c r="D28" s="13">
        <v>1.47</v>
      </c>
      <c r="E28" s="13">
        <v>1.47</v>
      </c>
      <c r="F28" s="13">
        <v>1.47</v>
      </c>
      <c r="G28" s="13">
        <v>1.47</v>
      </c>
    </row>
    <row r="29" spans="1:16" x14ac:dyDescent="0.25">
      <c r="A29" s="46" t="s">
        <v>16</v>
      </c>
      <c r="B29" s="13">
        <f>+C29+E29</f>
        <v>85025</v>
      </c>
      <c r="C29" s="13">
        <v>78777</v>
      </c>
      <c r="D29" s="13" t="s">
        <v>127</v>
      </c>
      <c r="E29" s="13">
        <v>6248</v>
      </c>
      <c r="F29" s="13"/>
      <c r="G29" s="13"/>
    </row>
    <row r="30" spans="1:16" x14ac:dyDescent="0.25">
      <c r="A30" s="13"/>
      <c r="B30" s="13"/>
      <c r="C30" s="13"/>
      <c r="D30" s="13"/>
      <c r="E30" s="13"/>
      <c r="F30" s="13"/>
      <c r="G30" s="13"/>
    </row>
    <row r="31" spans="1:16" x14ac:dyDescent="0.25">
      <c r="A31" s="45" t="s">
        <v>17</v>
      </c>
      <c r="B31" s="13"/>
      <c r="C31" s="13"/>
      <c r="D31" s="13"/>
      <c r="E31" s="13"/>
      <c r="F31" s="13"/>
      <c r="G31" s="13"/>
    </row>
    <row r="32" spans="1:16" x14ac:dyDescent="0.25">
      <c r="A32" s="13" t="s">
        <v>96</v>
      </c>
      <c r="B32" s="13">
        <f>B16/B27</f>
        <v>69904809486.745529</v>
      </c>
      <c r="C32" s="13">
        <f t="shared" ref="C32:G32" si="3">C16/C27</f>
        <v>54972557756.223312</v>
      </c>
      <c r="D32" s="13"/>
      <c r="E32" s="13">
        <f t="shared" si="3"/>
        <v>5156098221.9195509</v>
      </c>
      <c r="F32" s="13">
        <f t="shared" si="3"/>
        <v>7615439294.3169651</v>
      </c>
      <c r="G32" s="13">
        <f t="shared" si="3"/>
        <v>2160714214.2857146</v>
      </c>
    </row>
    <row r="33" spans="1:7" x14ac:dyDescent="0.25">
      <c r="A33" s="13" t="s">
        <v>97</v>
      </c>
      <c r="B33" s="13">
        <f>B18/B28</f>
        <v>65890113418.299316</v>
      </c>
      <c r="C33" s="13">
        <f t="shared" ref="C33:G33" si="4">C18/C28</f>
        <v>36585437889.766586</v>
      </c>
      <c r="D33" s="13">
        <f t="shared" si="4"/>
        <v>14620868406.747784</v>
      </c>
      <c r="E33" s="13">
        <f t="shared" si="4"/>
        <v>4834617356.750927</v>
      </c>
      <c r="F33" s="13">
        <f t="shared" si="4"/>
        <v>7600618336.4625854</v>
      </c>
      <c r="G33" s="13">
        <f t="shared" si="4"/>
        <v>2248571428.5714288</v>
      </c>
    </row>
    <row r="34" spans="1:7" x14ac:dyDescent="0.25">
      <c r="A34" s="13" t="s">
        <v>98</v>
      </c>
      <c r="B34" s="13">
        <f>B32/B10</f>
        <v>792297.55568364146</v>
      </c>
      <c r="C34" s="13">
        <f t="shared" ref="C34:E34" si="5">C32/C10</f>
        <v>641235.18160357687</v>
      </c>
      <c r="D34" s="13"/>
      <c r="E34" s="13">
        <f t="shared" si="5"/>
        <v>2061339.907483829</v>
      </c>
      <c r="F34" s="13"/>
      <c r="G34" s="13"/>
    </row>
    <row r="35" spans="1:7" x14ac:dyDescent="0.25">
      <c r="A35" s="13" t="s">
        <v>99</v>
      </c>
      <c r="B35" s="13">
        <f>B33/B12</f>
        <v>719882.36972215702</v>
      </c>
      <c r="C35" s="13">
        <f t="shared" ref="C35:E35" si="6">C33/C12</f>
        <v>576523.89833434753</v>
      </c>
      <c r="D35" s="13">
        <f t="shared" si="6"/>
        <v>576443.63837398076</v>
      </c>
      <c r="E35" s="13">
        <f t="shared" si="6"/>
        <v>1786353.6743237097</v>
      </c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45" t="s">
        <v>22</v>
      </c>
      <c r="B37" s="13"/>
      <c r="C37" s="13"/>
      <c r="D37" s="13"/>
      <c r="E37" s="13"/>
      <c r="F37" s="13"/>
      <c r="G37" s="13"/>
    </row>
    <row r="38" spans="1:7" x14ac:dyDescent="0.25">
      <c r="A38" s="13"/>
      <c r="B38" s="13"/>
      <c r="C38" s="13"/>
      <c r="D38" s="13"/>
      <c r="E38" s="13"/>
      <c r="F38" s="13"/>
      <c r="G38" s="13"/>
    </row>
    <row r="39" spans="1:7" x14ac:dyDescent="0.25">
      <c r="A39" s="13" t="s">
        <v>23</v>
      </c>
      <c r="B39" s="13"/>
      <c r="C39" s="13"/>
      <c r="D39" s="13"/>
      <c r="E39" s="13"/>
      <c r="F39" s="13"/>
      <c r="G39" s="13"/>
    </row>
    <row r="40" spans="1:7" x14ac:dyDescent="0.25">
      <c r="A40" s="13" t="s">
        <v>24</v>
      </c>
      <c r="B40" s="13">
        <f>((C40*C17+E40*E17)/(C17+E17))</f>
        <v>106.23331623722326</v>
      </c>
      <c r="C40" s="13">
        <f t="shared" ref="C40:F40" si="7">(C11)/C29*100</f>
        <v>112.00985059090851</v>
      </c>
      <c r="D40" s="13"/>
      <c r="E40" s="13">
        <f t="shared" si="7"/>
        <v>51.232394366197184</v>
      </c>
      <c r="F40" s="13" t="e">
        <f t="shared" si="7"/>
        <v>#DIV/0!</v>
      </c>
      <c r="G40" s="13"/>
    </row>
    <row r="41" spans="1:7" x14ac:dyDescent="0.25">
      <c r="A41" s="13" t="s">
        <v>25</v>
      </c>
      <c r="B41" s="13">
        <f>((C41*C18+E41*E18)/(C18+E18))</f>
        <v>76.208300605084219</v>
      </c>
      <c r="C41" s="13">
        <f t="shared" ref="C41:F41" si="8">(C12)/C29*100</f>
        <v>80.55481506869603</v>
      </c>
      <c r="D41" s="13"/>
      <c r="E41" s="13">
        <f t="shared" si="8"/>
        <v>43.316527955612464</v>
      </c>
      <c r="F41" s="13" t="e">
        <f t="shared" si="8"/>
        <v>#DIV/0!</v>
      </c>
      <c r="G41" s="13"/>
    </row>
    <row r="42" spans="1:7" x14ac:dyDescent="0.25">
      <c r="A42" s="13"/>
      <c r="B42" s="13"/>
      <c r="C42" s="13"/>
      <c r="D42" s="13"/>
      <c r="E42" s="13"/>
      <c r="F42" s="13"/>
      <c r="G42" s="13"/>
    </row>
    <row r="43" spans="1:7" x14ac:dyDescent="0.25">
      <c r="A43" s="13" t="s">
        <v>26</v>
      </c>
      <c r="B43" s="13"/>
      <c r="C43" s="13"/>
      <c r="D43" s="13"/>
      <c r="E43" s="13"/>
      <c r="F43" s="13"/>
      <c r="G43" s="13"/>
    </row>
    <row r="44" spans="1:7" x14ac:dyDescent="0.25">
      <c r="A44" s="13" t="s">
        <v>27</v>
      </c>
      <c r="B44" s="13">
        <f>B12/B11*100</f>
        <v>100.09842627325322</v>
      </c>
      <c r="C44" s="13">
        <f>(C12+D12)/C11*100</f>
        <v>100.66250746088232</v>
      </c>
      <c r="D44" s="13"/>
      <c r="E44" s="13">
        <f>E12/E11*100</f>
        <v>84.549099239820904</v>
      </c>
      <c r="F44" s="13"/>
      <c r="G44" s="13"/>
    </row>
    <row r="45" spans="1:7" x14ac:dyDescent="0.25">
      <c r="A45" s="13" t="s">
        <v>28</v>
      </c>
      <c r="B45" s="13">
        <f>B18/B17*100</f>
        <v>93.68256824286243</v>
      </c>
      <c r="C45" s="13">
        <f>(C18+D18)/C17*100</f>
        <v>93.659842007679444</v>
      </c>
      <c r="D45" s="13"/>
      <c r="E45" s="13">
        <f>E18/E17*100</f>
        <v>84.196625595133753</v>
      </c>
      <c r="F45" s="13">
        <f>F18/F17*100</f>
        <v>99.093978747522769</v>
      </c>
      <c r="G45" s="13">
        <f>G18/G17*100</f>
        <v>100</v>
      </c>
    </row>
    <row r="46" spans="1:7" x14ac:dyDescent="0.25">
      <c r="A46" s="13" t="s">
        <v>29</v>
      </c>
      <c r="B46" s="13">
        <f>AVERAGE(B44:B45)</f>
        <v>96.89049725805782</v>
      </c>
      <c r="C46" s="13">
        <f t="shared" ref="C46:E46" si="9">AVERAGE(C44:C45)</f>
        <v>97.161174734280877</v>
      </c>
      <c r="D46" s="13"/>
      <c r="E46" s="13">
        <f t="shared" si="9"/>
        <v>84.372862417477336</v>
      </c>
      <c r="F46" s="13"/>
      <c r="G46" s="13"/>
    </row>
    <row r="47" spans="1:7" x14ac:dyDescent="0.25">
      <c r="A47" s="13"/>
      <c r="B47" s="13"/>
      <c r="C47" s="13"/>
      <c r="D47" s="13"/>
      <c r="E47" s="13"/>
      <c r="F47" s="13"/>
      <c r="G47" s="13"/>
    </row>
    <row r="48" spans="1:7" x14ac:dyDescent="0.25">
      <c r="A48" s="13" t="s">
        <v>30</v>
      </c>
      <c r="B48" s="13"/>
      <c r="C48" s="13"/>
      <c r="D48" s="13"/>
      <c r="E48" s="13"/>
      <c r="F48" s="13"/>
      <c r="G48" s="13"/>
    </row>
    <row r="49" spans="1:7" x14ac:dyDescent="0.25">
      <c r="A49" s="13" t="s">
        <v>31</v>
      </c>
      <c r="B49" s="13">
        <f>B12/(B13)*100</f>
        <v>100.09842627325322</v>
      </c>
      <c r="C49" s="13">
        <f>(C12+D12)/(C13)*100</f>
        <v>100.66250746088232</v>
      </c>
      <c r="D49" s="13"/>
      <c r="E49" s="13">
        <f t="shared" ref="E49" si="10">E12/(E13)*100</f>
        <v>84.549099239820904</v>
      </c>
      <c r="F49" s="13"/>
      <c r="G49" s="13"/>
    </row>
    <row r="50" spans="1:7" x14ac:dyDescent="0.25">
      <c r="A50" s="13" t="s">
        <v>32</v>
      </c>
      <c r="B50" s="13">
        <f>B18/B19*100</f>
        <v>100.28734169518873</v>
      </c>
      <c r="C50" s="13">
        <f>(C18+D18)/C19*100</f>
        <v>101.37486499544275</v>
      </c>
      <c r="D50" s="13"/>
      <c r="E50" s="13">
        <f>E18/E19*100</f>
        <v>91.724261617994898</v>
      </c>
      <c r="F50" s="13">
        <f>F18/F19*100</f>
        <v>99.094102122413531</v>
      </c>
      <c r="G50" s="13">
        <f>G18/G19*100</f>
        <v>100</v>
      </c>
    </row>
    <row r="51" spans="1:7" x14ac:dyDescent="0.25">
      <c r="A51" s="13" t="s">
        <v>33</v>
      </c>
      <c r="B51" s="13">
        <f>(B49+B50)/2</f>
        <v>100.19288398422097</v>
      </c>
      <c r="C51" s="13">
        <f t="shared" ref="C51:G51" si="11">(C49+C50)/2</f>
        <v>101.01868622816254</v>
      </c>
      <c r="D51" s="13"/>
      <c r="E51" s="13">
        <f t="shared" si="11"/>
        <v>88.136680428907908</v>
      </c>
      <c r="F51" s="13">
        <f t="shared" si="11"/>
        <v>49.547051061206766</v>
      </c>
      <c r="G51" s="13">
        <f t="shared" si="11"/>
        <v>50</v>
      </c>
    </row>
    <row r="52" spans="1:7" x14ac:dyDescent="0.25">
      <c r="A52" s="13"/>
      <c r="B52" s="13"/>
      <c r="C52" s="13"/>
      <c r="D52" s="13"/>
      <c r="E52" s="13"/>
      <c r="F52" s="13"/>
      <c r="G52" s="13"/>
    </row>
    <row r="53" spans="1:7" x14ac:dyDescent="0.25">
      <c r="A53" s="13" t="s">
        <v>100</v>
      </c>
      <c r="B53" s="13"/>
      <c r="C53" s="13"/>
      <c r="D53" s="13"/>
      <c r="E53" s="13"/>
      <c r="F53" s="13"/>
      <c r="G53" s="13"/>
    </row>
    <row r="54" spans="1:7" x14ac:dyDescent="0.25">
      <c r="A54" s="13" t="s">
        <v>34</v>
      </c>
      <c r="B54" s="13">
        <f>(B20/B18)*100</f>
        <v>96.587391777129724</v>
      </c>
      <c r="C54" s="13">
        <f t="shared" ref="C54:F54" si="12">(C20/C18)*100</f>
        <v>100</v>
      </c>
      <c r="D54" s="13">
        <f t="shared" si="12"/>
        <v>100</v>
      </c>
      <c r="E54" s="13">
        <f t="shared" si="12"/>
        <v>100</v>
      </c>
      <c r="F54" s="13">
        <f t="shared" si="12"/>
        <v>100</v>
      </c>
      <c r="G54" s="13"/>
    </row>
    <row r="55" spans="1:7" x14ac:dyDescent="0.25">
      <c r="A55" s="13"/>
      <c r="B55" s="13"/>
      <c r="C55" s="13"/>
      <c r="D55" s="13"/>
      <c r="E55" s="13"/>
      <c r="F55" s="13"/>
      <c r="G55" s="13"/>
    </row>
    <row r="56" spans="1:7" x14ac:dyDescent="0.25">
      <c r="A56" s="13" t="s">
        <v>35</v>
      </c>
      <c r="B56" s="13"/>
      <c r="C56" s="13"/>
      <c r="D56" s="13"/>
      <c r="E56" s="13"/>
      <c r="F56" s="13"/>
      <c r="G56" s="13"/>
    </row>
    <row r="57" spans="1:7" x14ac:dyDescent="0.25">
      <c r="A57" s="13" t="s">
        <v>36</v>
      </c>
      <c r="B57" s="13">
        <f>((B12/B10)-1)*100</f>
        <v>3.7385031253365009</v>
      </c>
      <c r="C57" s="13">
        <f>(((C12+D12)/C10)-1)*100</f>
        <v>3.6083596597813017</v>
      </c>
      <c r="D57" s="13"/>
      <c r="E57" s="13">
        <f>((E12/E10)-1)*100</f>
        <v>8.1989605543710162</v>
      </c>
      <c r="F57" s="13"/>
      <c r="G57" s="13"/>
    </row>
    <row r="58" spans="1:7" x14ac:dyDescent="0.25">
      <c r="A58" s="13" t="s">
        <v>37</v>
      </c>
      <c r="B58" s="13">
        <f>((B33/B32)-1)*100</f>
        <v>-5.7430899217419729</v>
      </c>
      <c r="C58" s="13">
        <f>(((C33+D33)/C32)-1)*100</f>
        <v>-6.8511483064157996</v>
      </c>
      <c r="D58" s="13"/>
      <c r="E58" s="13">
        <f t="shared" ref="E58:G58" si="13">((E33/E32)-1)*100</f>
        <v>-6.2349639462248359</v>
      </c>
      <c r="F58" s="13">
        <f t="shared" si="13"/>
        <v>-0.19461724112802559</v>
      </c>
      <c r="G58" s="13">
        <f t="shared" si="13"/>
        <v>4.0661191426816234</v>
      </c>
    </row>
    <row r="59" spans="1:7" x14ac:dyDescent="0.25">
      <c r="A59" s="13" t="s">
        <v>38</v>
      </c>
      <c r="B59" s="13">
        <f>((B35/B34)-1)*100</f>
        <v>-9.139897686419129</v>
      </c>
      <c r="C59" s="13">
        <f>(((C35+D35)/(C34*2))-1)*100</f>
        <v>-10.097919625602071</v>
      </c>
      <c r="D59" s="13"/>
      <c r="E59" s="13">
        <f t="shared" ref="E59" si="14">((E35/E34)-1)*100</f>
        <v>-13.34016928318148</v>
      </c>
      <c r="F59" s="13"/>
      <c r="G59" s="13"/>
    </row>
    <row r="60" spans="1:7" x14ac:dyDescent="0.25">
      <c r="A60" s="13"/>
      <c r="B60" s="13"/>
      <c r="C60" s="13"/>
      <c r="D60" s="13"/>
      <c r="E60" s="13"/>
      <c r="F60" s="13"/>
      <c r="G60" s="13"/>
    </row>
    <row r="61" spans="1:7" x14ac:dyDescent="0.25">
      <c r="A61" s="13" t="s">
        <v>39</v>
      </c>
      <c r="B61" s="13"/>
      <c r="C61" s="13"/>
      <c r="D61" s="13"/>
      <c r="E61" s="13"/>
      <c r="F61" s="13"/>
      <c r="G61" s="13"/>
    </row>
    <row r="62" spans="1:7" x14ac:dyDescent="0.25">
      <c r="A62" s="13" t="s">
        <v>101</v>
      </c>
      <c r="B62" s="13">
        <f>B17/(B11*12)</f>
        <v>94224.987355381731</v>
      </c>
      <c r="C62" s="13">
        <f t="shared" ref="C62:E62" si="15">C17/(C11*12)</f>
        <v>75901.517997879608</v>
      </c>
      <c r="D62" s="13"/>
      <c r="E62" s="13">
        <f t="shared" si="15"/>
        <v>219744.40952924066</v>
      </c>
      <c r="F62" s="13"/>
      <c r="G62" s="13"/>
    </row>
    <row r="63" spans="1:7" x14ac:dyDescent="0.25">
      <c r="A63" s="13" t="s">
        <v>102</v>
      </c>
      <c r="B63" s="13">
        <f>B18/(B12*12)</f>
        <v>88185.590290964217</v>
      </c>
      <c r="C63" s="13">
        <f>(C18+D18)/(C12*12)</f>
        <v>98848.161343704211</v>
      </c>
      <c r="D63" s="13"/>
      <c r="E63" s="13">
        <f t="shared" ref="E63" si="16">E18/(E12*12)</f>
        <v>218828.32510465442</v>
      </c>
      <c r="F63" s="13"/>
      <c r="G63" s="13"/>
    </row>
    <row r="64" spans="1:7" x14ac:dyDescent="0.25">
      <c r="A64" s="13" t="s">
        <v>40</v>
      </c>
      <c r="B64" s="13">
        <f>(B62/B63)*B46</f>
        <v>103.52605055854103</v>
      </c>
      <c r="C64" s="13">
        <f t="shared" ref="C64:E64" si="17">(C62/C63)*C46</f>
        <v>74.606148991954413</v>
      </c>
      <c r="D64" s="13"/>
      <c r="E64" s="13">
        <f t="shared" si="17"/>
        <v>84.726073845117909</v>
      </c>
      <c r="F64" s="13"/>
      <c r="G64" s="13"/>
    </row>
    <row r="65" spans="1:7" x14ac:dyDescent="0.25">
      <c r="A65" s="13" t="s">
        <v>112</v>
      </c>
      <c r="B65" s="13">
        <f>B17/B11</f>
        <v>1130699.8482645808</v>
      </c>
      <c r="C65" s="13">
        <f t="shared" ref="C65:E66" si="18">C17/C11</f>
        <v>910818.21597455535</v>
      </c>
      <c r="D65" s="13"/>
      <c r="E65" s="13">
        <f t="shared" si="18"/>
        <v>2636932.9143508882</v>
      </c>
      <c r="F65" s="13"/>
      <c r="G65" s="13"/>
    </row>
    <row r="66" spans="1:7" x14ac:dyDescent="0.25">
      <c r="A66" s="13" t="s">
        <v>113</v>
      </c>
      <c r="B66" s="13">
        <f>B18/B12</f>
        <v>1058227.0834915708</v>
      </c>
      <c r="C66" s="13">
        <f>(C18+D18)/C12</f>
        <v>1186177.9361244503</v>
      </c>
      <c r="D66" s="13"/>
      <c r="E66" s="13">
        <f t="shared" si="18"/>
        <v>2625939.901255853</v>
      </c>
      <c r="F66" s="13"/>
      <c r="G66" s="13"/>
    </row>
    <row r="67" spans="1:7" x14ac:dyDescent="0.25">
      <c r="A67" s="13"/>
      <c r="B67" s="13"/>
      <c r="C67" s="13"/>
      <c r="D67" s="13"/>
      <c r="E67" s="13"/>
      <c r="F67" s="13"/>
      <c r="G67" s="13"/>
    </row>
    <row r="68" spans="1:7" x14ac:dyDescent="0.25">
      <c r="A68" s="13" t="s">
        <v>41</v>
      </c>
      <c r="B68" s="13"/>
      <c r="C68" s="13"/>
      <c r="D68" s="13"/>
      <c r="E68" s="13"/>
      <c r="F68" s="13"/>
      <c r="G68" s="13"/>
    </row>
    <row r="69" spans="1:7" x14ac:dyDescent="0.25">
      <c r="A69" s="13" t="s">
        <v>42</v>
      </c>
      <c r="B69" s="13">
        <f>(B24/B23)*100</f>
        <v>94.092955842639753</v>
      </c>
      <c r="C69" s="13"/>
      <c r="D69" s="13"/>
      <c r="E69" s="13"/>
      <c r="F69" s="13"/>
      <c r="G69" s="13"/>
    </row>
    <row r="70" spans="1:7" x14ac:dyDescent="0.25">
      <c r="A70" s="13" t="s">
        <v>43</v>
      </c>
      <c r="B70" s="13">
        <f>(B18/B24)*100</f>
        <v>99.563848753499002</v>
      </c>
      <c r="C70" s="13"/>
      <c r="D70" s="13"/>
      <c r="E70" s="13"/>
      <c r="F70" s="13"/>
      <c r="G70" s="13"/>
    </row>
    <row r="71" spans="1:7" ht="15.75" thickBot="1" x14ac:dyDescent="0.3">
      <c r="A71" s="48"/>
      <c r="B71" s="48"/>
      <c r="C71" s="48"/>
      <c r="D71" s="48"/>
      <c r="E71" s="48"/>
      <c r="F71" s="48"/>
      <c r="G71" s="48"/>
    </row>
    <row r="72" spans="1:7" ht="15.75" thickTop="1" x14ac:dyDescent="0.25"/>
    <row r="73" spans="1:7" x14ac:dyDescent="0.25">
      <c r="A73" s="18" t="s">
        <v>55</v>
      </c>
    </row>
    <row r="74" spans="1:7" x14ac:dyDescent="0.25">
      <c r="A74" s="18" t="s">
        <v>116</v>
      </c>
    </row>
    <row r="75" spans="1:7" x14ac:dyDescent="0.25">
      <c r="A75" s="18" t="s">
        <v>117</v>
      </c>
    </row>
    <row r="76" spans="1:7" x14ac:dyDescent="0.25">
      <c r="A76" s="18" t="s">
        <v>118</v>
      </c>
    </row>
    <row r="78" spans="1:7" x14ac:dyDescent="0.25">
      <c r="A78" s="18" t="s">
        <v>119</v>
      </c>
    </row>
    <row r="79" spans="1:7" x14ac:dyDescent="0.25">
      <c r="A79" s="18" t="s">
        <v>121</v>
      </c>
    </row>
    <row r="80" spans="1:7" x14ac:dyDescent="0.25">
      <c r="A80" s="18" t="s">
        <v>120</v>
      </c>
    </row>
    <row r="81" spans="1:1" x14ac:dyDescent="0.25">
      <c r="A81" s="18" t="s">
        <v>122</v>
      </c>
    </row>
    <row r="82" spans="1:1" x14ac:dyDescent="0.25">
      <c r="A82" s="23" t="s">
        <v>123</v>
      </c>
    </row>
    <row r="83" spans="1:1" x14ac:dyDescent="0.25">
      <c r="A83" s="23" t="s">
        <v>124</v>
      </c>
    </row>
  </sheetData>
  <mergeCells count="6">
    <mergeCell ref="A2:G2"/>
    <mergeCell ref="A4:A5"/>
    <mergeCell ref="B4:B5"/>
    <mergeCell ref="C4:E4"/>
    <mergeCell ref="F4:F5"/>
    <mergeCell ref="G4:G5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N14" sqref="N1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  <vt:lpstr>Observaciones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Horacio Rodriguez</cp:lastModifiedBy>
  <dcterms:created xsi:type="dcterms:W3CDTF">2012-04-23T14:39:07Z</dcterms:created>
  <dcterms:modified xsi:type="dcterms:W3CDTF">2013-10-29T21:02:17Z</dcterms:modified>
</cp:coreProperties>
</file>