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ocuments\Hermes Cliente\files\"/>
    </mc:Choice>
  </mc:AlternateContent>
  <bookViews>
    <workbookView xWindow="120" yWindow="45" windowWidth="17400" windowHeight="7995" firstSheet="1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3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B16" i="4" l="1"/>
  <c r="B16" i="1"/>
  <c r="B16" i="3"/>
  <c r="B16" i="2"/>
  <c r="C66" i="4" l="1"/>
  <c r="C63" i="4"/>
  <c r="C50" i="4"/>
  <c r="C45" i="4"/>
  <c r="C41" i="4"/>
  <c r="C66" i="1"/>
  <c r="C63" i="1"/>
  <c r="C50" i="1"/>
  <c r="C49" i="1"/>
  <c r="C45" i="1"/>
  <c r="C41" i="1"/>
  <c r="C66" i="3"/>
  <c r="C63" i="3"/>
  <c r="C50" i="3"/>
  <c r="C45" i="3"/>
  <c r="C41" i="3"/>
  <c r="C66" i="2"/>
  <c r="C63" i="2"/>
  <c r="C51" i="1" l="1"/>
  <c r="C50" i="2"/>
  <c r="C41" i="2"/>
  <c r="C12" i="7"/>
  <c r="C10" i="7"/>
  <c r="C12" i="6"/>
  <c r="C10" i="6"/>
  <c r="C12" i="5"/>
  <c r="C10" i="5"/>
  <c r="B13" i="4"/>
  <c r="C13" i="4"/>
  <c r="C49" i="4" s="1"/>
  <c r="C51" i="4" s="1"/>
  <c r="C11" i="4"/>
  <c r="B13" i="1"/>
  <c r="C11" i="1"/>
  <c r="C65" i="1" l="1"/>
  <c r="C62" i="1"/>
  <c r="C44" i="1"/>
  <c r="C46" i="1" s="1"/>
  <c r="C40" i="1"/>
  <c r="C44" i="4"/>
  <c r="C46" i="4" s="1"/>
  <c r="C40" i="4"/>
  <c r="C65" i="4"/>
  <c r="C62" i="4"/>
  <c r="C41" i="5"/>
  <c r="C41" i="6"/>
  <c r="C41" i="7"/>
  <c r="C13" i="3"/>
  <c r="C11" i="3"/>
  <c r="C13" i="2"/>
  <c r="B13" i="2" s="1"/>
  <c r="C11" i="2"/>
  <c r="C65" i="2" l="1"/>
  <c r="C62" i="2"/>
  <c r="C40" i="2"/>
  <c r="C11" i="7"/>
  <c r="C11" i="6"/>
  <c r="C11" i="5"/>
  <c r="B13" i="3"/>
  <c r="C49" i="3"/>
  <c r="C51" i="3" s="1"/>
  <c r="C64" i="4"/>
  <c r="C64" i="1"/>
  <c r="C49" i="2"/>
  <c r="C13" i="7"/>
  <c r="C13" i="6"/>
  <c r="C13" i="5"/>
  <c r="C65" i="3"/>
  <c r="C62" i="3"/>
  <c r="C44" i="3"/>
  <c r="C46" i="3" s="1"/>
  <c r="C40" i="3"/>
  <c r="C64" i="3" l="1"/>
  <c r="B13" i="5"/>
  <c r="C49" i="5"/>
  <c r="B13" i="7"/>
  <c r="C49" i="7"/>
  <c r="C40" i="5"/>
  <c r="C44" i="5"/>
  <c r="C40" i="7"/>
  <c r="C44" i="7"/>
  <c r="B13" i="6"/>
  <c r="C49" i="6"/>
  <c r="C40" i="6"/>
  <c r="C44" i="6"/>
  <c r="B24" i="5"/>
  <c r="C17" i="5"/>
  <c r="C65" i="5" s="1"/>
  <c r="C18" i="5"/>
  <c r="C66" i="5" s="1"/>
  <c r="D18" i="5"/>
  <c r="D16" i="5"/>
  <c r="D32" i="5" s="1"/>
  <c r="C16" i="5"/>
  <c r="B10" i="5"/>
  <c r="D19" i="5"/>
  <c r="B12" i="5"/>
  <c r="B24" i="6"/>
  <c r="C17" i="6"/>
  <c r="C65" i="6" s="1"/>
  <c r="C18" i="6"/>
  <c r="C66" i="6" s="1"/>
  <c r="D18" i="6"/>
  <c r="D16" i="6"/>
  <c r="D32" i="6" s="1"/>
  <c r="C16" i="6"/>
  <c r="C32" i="6" s="1"/>
  <c r="D19" i="6"/>
  <c r="B10" i="6"/>
  <c r="B24" i="7"/>
  <c r="C17" i="7"/>
  <c r="C65" i="7" s="1"/>
  <c r="C18" i="7"/>
  <c r="C66" i="7" s="1"/>
  <c r="D18" i="7"/>
  <c r="D16" i="7"/>
  <c r="D32" i="7" s="1"/>
  <c r="C16" i="7"/>
  <c r="C32" i="7" s="1"/>
  <c r="B10" i="7"/>
  <c r="C20" i="7"/>
  <c r="B20" i="7" s="1"/>
  <c r="D19" i="7"/>
  <c r="D33" i="4"/>
  <c r="D58" i="4" s="1"/>
  <c r="C33" i="4"/>
  <c r="D32" i="4"/>
  <c r="C32" i="4"/>
  <c r="C34" i="4" s="1"/>
  <c r="B32" i="4"/>
  <c r="C20" i="4"/>
  <c r="B20" i="4" s="1"/>
  <c r="D19" i="4"/>
  <c r="D50" i="4" s="1"/>
  <c r="B18" i="4"/>
  <c r="D17" i="4"/>
  <c r="D45" i="4" s="1"/>
  <c r="B12" i="4"/>
  <c r="B10" i="4"/>
  <c r="D33" i="3"/>
  <c r="D58" i="3" s="1"/>
  <c r="C33" i="3"/>
  <c r="D32" i="3"/>
  <c r="C32" i="3"/>
  <c r="C34" i="3" s="1"/>
  <c r="B32" i="3"/>
  <c r="C20" i="3"/>
  <c r="B20" i="3" s="1"/>
  <c r="B54" i="3" s="1"/>
  <c r="D19" i="3"/>
  <c r="D50" i="3" s="1"/>
  <c r="B18" i="3"/>
  <c r="D17" i="3"/>
  <c r="D45" i="3" s="1"/>
  <c r="B12" i="3"/>
  <c r="B10" i="3"/>
  <c r="B54" i="4" l="1"/>
  <c r="B16" i="5"/>
  <c r="B32" i="5" s="1"/>
  <c r="B70" i="3"/>
  <c r="B63" i="3"/>
  <c r="B50" i="3"/>
  <c r="B66" i="3"/>
  <c r="B49" i="4"/>
  <c r="B41" i="4"/>
  <c r="B57" i="4"/>
  <c r="B66" i="4"/>
  <c r="B63" i="4"/>
  <c r="B50" i="4"/>
  <c r="B70" i="4"/>
  <c r="C58" i="4"/>
  <c r="C45" i="7"/>
  <c r="C63" i="7"/>
  <c r="C50" i="7"/>
  <c r="C63" i="6"/>
  <c r="C45" i="6"/>
  <c r="C50" i="6"/>
  <c r="C63" i="5"/>
  <c r="C45" i="5"/>
  <c r="C50" i="5"/>
  <c r="B41" i="3"/>
  <c r="B57" i="3"/>
  <c r="B49" i="3"/>
  <c r="B51" i="3" s="1"/>
  <c r="C58" i="3"/>
  <c r="D33" i="7"/>
  <c r="D58" i="7" s="1"/>
  <c r="D50" i="7"/>
  <c r="C62" i="7"/>
  <c r="D50" i="6"/>
  <c r="C62" i="6"/>
  <c r="B57" i="5"/>
  <c r="B49" i="5"/>
  <c r="B41" i="5"/>
  <c r="D33" i="5"/>
  <c r="D58" i="5" s="1"/>
  <c r="D50" i="5"/>
  <c r="C62" i="5"/>
  <c r="C46" i="6"/>
  <c r="C51" i="6"/>
  <c r="C46" i="7"/>
  <c r="C46" i="5"/>
  <c r="C51" i="7"/>
  <c r="C51" i="5"/>
  <c r="B18" i="7"/>
  <c r="B18" i="6"/>
  <c r="C34" i="6"/>
  <c r="B12" i="7"/>
  <c r="C33" i="7"/>
  <c r="C58" i="7" s="1"/>
  <c r="B16" i="6"/>
  <c r="B32" i="6" s="1"/>
  <c r="B34" i="6" s="1"/>
  <c r="B16" i="7"/>
  <c r="B32" i="7" s="1"/>
  <c r="B34" i="7" s="1"/>
  <c r="B34" i="5"/>
  <c r="C20" i="5"/>
  <c r="B20" i="5" s="1"/>
  <c r="C32" i="5"/>
  <c r="C34" i="5" s="1"/>
  <c r="B18" i="5"/>
  <c r="B66" i="5" s="1"/>
  <c r="C33" i="5"/>
  <c r="C58" i="5" s="1"/>
  <c r="B12" i="6"/>
  <c r="C20" i="6"/>
  <c r="B20" i="6" s="1"/>
  <c r="B54" i="6" s="1"/>
  <c r="D33" i="6"/>
  <c r="D58" i="6" s="1"/>
  <c r="C33" i="6"/>
  <c r="C58" i="6" s="1"/>
  <c r="C34" i="7"/>
  <c r="B33" i="7"/>
  <c r="C35" i="7"/>
  <c r="C59" i="7" s="1"/>
  <c r="B34" i="4"/>
  <c r="B11" i="4"/>
  <c r="B40" i="4" s="1"/>
  <c r="B17" i="4"/>
  <c r="B45" i="4" s="1"/>
  <c r="B33" i="4"/>
  <c r="B58" i="4" s="1"/>
  <c r="C35" i="4"/>
  <c r="C59" i="4" s="1"/>
  <c r="B34" i="3"/>
  <c r="B11" i="3"/>
  <c r="B40" i="3" s="1"/>
  <c r="B17" i="3"/>
  <c r="B33" i="3"/>
  <c r="B58" i="3" s="1"/>
  <c r="C35" i="3"/>
  <c r="C59" i="3" s="1"/>
  <c r="C45" i="2"/>
  <c r="D33" i="2"/>
  <c r="D58" i="2" s="1"/>
  <c r="C33" i="2"/>
  <c r="D32" i="2"/>
  <c r="C32" i="2"/>
  <c r="C34" i="2" s="1"/>
  <c r="B32" i="2"/>
  <c r="C20" i="2"/>
  <c r="B20" i="2" s="1"/>
  <c r="B54" i="2" s="1"/>
  <c r="D19" i="2"/>
  <c r="D50" i="2" s="1"/>
  <c r="B18" i="2"/>
  <c r="D17" i="2"/>
  <c r="C51" i="2"/>
  <c r="B12" i="2"/>
  <c r="B10" i="2"/>
  <c r="B10" i="1"/>
  <c r="D33" i="1"/>
  <c r="D58" i="1" s="1"/>
  <c r="C33" i="1"/>
  <c r="D32" i="1"/>
  <c r="C32" i="1"/>
  <c r="B32" i="1"/>
  <c r="C20" i="1"/>
  <c r="B20" i="1" s="1"/>
  <c r="B54" i="1" s="1"/>
  <c r="D19" i="1"/>
  <c r="D50" i="1" s="1"/>
  <c r="B18" i="1"/>
  <c r="D17" i="1"/>
  <c r="D45" i="1" s="1"/>
  <c r="B12" i="1"/>
  <c r="B11" i="1"/>
  <c r="B40" i="1" s="1"/>
  <c r="B66" i="6" l="1"/>
  <c r="B54" i="5"/>
  <c r="B54" i="7"/>
  <c r="B66" i="7"/>
  <c r="B58" i="7"/>
  <c r="B44" i="1"/>
  <c r="B41" i="1"/>
  <c r="B57" i="1"/>
  <c r="B49" i="1"/>
  <c r="B66" i="1"/>
  <c r="B63" i="1"/>
  <c r="B70" i="1"/>
  <c r="B50" i="1"/>
  <c r="C35" i="1"/>
  <c r="C58" i="1"/>
  <c r="B49" i="2"/>
  <c r="B41" i="2"/>
  <c r="B62" i="3"/>
  <c r="B65" i="3"/>
  <c r="B57" i="6"/>
  <c r="B41" i="6"/>
  <c r="B49" i="6"/>
  <c r="B57" i="7"/>
  <c r="B49" i="7"/>
  <c r="B41" i="7"/>
  <c r="B33" i="6"/>
  <c r="B58" i="6" s="1"/>
  <c r="B63" i="6"/>
  <c r="B70" i="6"/>
  <c r="B50" i="6"/>
  <c r="C64" i="5"/>
  <c r="C64" i="7"/>
  <c r="B44" i="3"/>
  <c r="B51" i="4"/>
  <c r="B45" i="3"/>
  <c r="B70" i="2"/>
  <c r="B66" i="2"/>
  <c r="B63" i="2"/>
  <c r="B65" i="4"/>
  <c r="B62" i="4"/>
  <c r="B70" i="5"/>
  <c r="B50" i="5"/>
  <c r="B51" i="5" s="1"/>
  <c r="B63" i="5"/>
  <c r="B63" i="7"/>
  <c r="B70" i="7"/>
  <c r="B50" i="7"/>
  <c r="C64" i="6"/>
  <c r="B44" i="4"/>
  <c r="B46" i="4" s="1"/>
  <c r="D45" i="2"/>
  <c r="D17" i="5"/>
  <c r="D45" i="5" s="1"/>
  <c r="D17" i="6"/>
  <c r="D45" i="6" s="1"/>
  <c r="D17" i="7"/>
  <c r="D45" i="7" s="1"/>
  <c r="C58" i="2"/>
  <c r="C35" i="5"/>
  <c r="C59" i="5" s="1"/>
  <c r="B33" i="5"/>
  <c r="B58" i="5" s="1"/>
  <c r="C35" i="6"/>
  <c r="C59" i="6" s="1"/>
  <c r="B35" i="7"/>
  <c r="B59" i="7" s="1"/>
  <c r="B35" i="4"/>
  <c r="B59" i="4" s="1"/>
  <c r="B23" i="4"/>
  <c r="B69" i="4" s="1"/>
  <c r="B35" i="3"/>
  <c r="B59" i="3" s="1"/>
  <c r="B23" i="3"/>
  <c r="B69" i="3" s="1"/>
  <c r="B57" i="2"/>
  <c r="B34" i="2"/>
  <c r="B11" i="2"/>
  <c r="B40" i="2" s="1"/>
  <c r="B17" i="2"/>
  <c r="B33" i="2"/>
  <c r="B58" i="2" s="1"/>
  <c r="C35" i="2"/>
  <c r="C59" i="2" s="1"/>
  <c r="C44" i="2"/>
  <c r="C46" i="2" s="1"/>
  <c r="C64" i="2" s="1"/>
  <c r="B50" i="2"/>
  <c r="C34" i="1"/>
  <c r="B34" i="1"/>
  <c r="B17" i="1"/>
  <c r="B33" i="1"/>
  <c r="B58" i="1" s="1"/>
  <c r="B64" i="4" l="1"/>
  <c r="B35" i="6"/>
  <c r="B59" i="6" s="1"/>
  <c r="B65" i="1"/>
  <c r="B62" i="1"/>
  <c r="B46" i="3"/>
  <c r="B64" i="3" s="1"/>
  <c r="B51" i="7"/>
  <c r="B51" i="1"/>
  <c r="B65" i="2"/>
  <c r="B62" i="2"/>
  <c r="B51" i="6"/>
  <c r="C59" i="1"/>
  <c r="B45" i="1"/>
  <c r="B46" i="1" s="1"/>
  <c r="B17" i="7"/>
  <c r="B65" i="7" s="1"/>
  <c r="B17" i="5"/>
  <c r="B65" i="5" s="1"/>
  <c r="B11" i="5"/>
  <c r="B17" i="6"/>
  <c r="B11" i="6"/>
  <c r="B11" i="7"/>
  <c r="B35" i="5"/>
  <c r="B59" i="5" s="1"/>
  <c r="B51" i="2"/>
  <c r="B35" i="2"/>
  <c r="B59" i="2" s="1"/>
  <c r="B44" i="2"/>
  <c r="B45" i="2"/>
  <c r="B23" i="2"/>
  <c r="B69" i="2" s="1"/>
  <c r="B23" i="1"/>
  <c r="B69" i="1" s="1"/>
  <c r="B35" i="1"/>
  <c r="B59" i="1" s="1"/>
  <c r="B65" i="6" l="1"/>
  <c r="B40" i="7"/>
  <c r="B44" i="7"/>
  <c r="B62" i="6"/>
  <c r="B45" i="6"/>
  <c r="B62" i="5"/>
  <c r="B45" i="5"/>
  <c r="B64" i="1"/>
  <c r="B40" i="6"/>
  <c r="B44" i="6"/>
  <c r="B46" i="6" s="1"/>
  <c r="B40" i="5"/>
  <c r="B44" i="5"/>
  <c r="B62" i="7"/>
  <c r="B45" i="7"/>
  <c r="B23" i="6"/>
  <c r="B69" i="6" s="1"/>
  <c r="B23" i="5"/>
  <c r="B69" i="5" s="1"/>
  <c r="B23" i="7"/>
  <c r="B69" i="7" s="1"/>
  <c r="B46" i="2"/>
  <c r="B64" i="2" s="1"/>
  <c r="B46" i="5" l="1"/>
  <c r="B64" i="5" s="1"/>
  <c r="B46" i="7"/>
  <c r="B64" i="7" s="1"/>
  <c r="B64" i="6"/>
</calcChain>
</file>

<file path=xl/sharedStrings.xml><?xml version="1.0" encoding="utf-8"?>
<sst xmlns="http://schemas.openxmlformats.org/spreadsheetml/2006/main" count="475" uniqueCount="157">
  <si>
    <t>Indicador</t>
  </si>
  <si>
    <t>Total</t>
  </si>
  <si>
    <t>Productos</t>
  </si>
  <si>
    <t>programa</t>
  </si>
  <si>
    <t>Subsidios</t>
  </si>
  <si>
    <t>Gastos</t>
  </si>
  <si>
    <t>Insumos</t>
  </si>
  <si>
    <t xml:space="preserve">Beneficiarios </t>
  </si>
  <si>
    <t>Efectivos 3T 2010</t>
  </si>
  <si>
    <t>Programados 3T 2011</t>
  </si>
  <si>
    <t>Efectivos 3T 2011</t>
  </si>
  <si>
    <t>Programados año 2011</t>
  </si>
  <si>
    <t>Gasto FODESAF</t>
  </si>
  <si>
    <t>Efectivo 3T 2010</t>
  </si>
  <si>
    <t>Programado 3T 2011</t>
  </si>
  <si>
    <t>Efectivo 3T 2011</t>
  </si>
  <si>
    <t>En transferencias 3T 2011</t>
  </si>
  <si>
    <t>Ingresos FODESAF</t>
  </si>
  <si>
    <t>Otros insumos</t>
  </si>
  <si>
    <t>IPC (3T 2010)</t>
  </si>
  <si>
    <t>IPC (3T 2011)</t>
  </si>
  <si>
    <t>Población objetivo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</si>
  <si>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</si>
  <si>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</si>
  <si>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</si>
  <si>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</si>
  <si>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</si>
  <si>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</si>
  <si>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</si>
  <si>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</si>
  <si>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</si>
  <si>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</si>
  <si>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</si>
  <si>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</si>
  <si>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</si>
  <si>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</si>
  <si>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</si>
  <si>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</si>
  <si>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</si>
  <si>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</si>
  <si>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</si>
  <si>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</si>
  <si>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</si>
  <si>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</si>
  <si>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</si>
  <si>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</si>
  <si>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</si>
  <si>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</si>
  <si>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</si>
  <si>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</si>
  <si>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Plan Anual Operativo Pacientes en Fase Terminal 2011</t>
  </si>
  <si>
    <t>Efectivos 1T 2010</t>
  </si>
  <si>
    <t>Programados 1T 2011</t>
  </si>
  <si>
    <t>Efectivos 1T 2011</t>
  </si>
  <si>
    <t>Efectivo 1T 2010</t>
  </si>
  <si>
    <t>Programado 1T 2011</t>
  </si>
  <si>
    <t>Efectivo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</si>
  <si>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</si>
  <si>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</si>
  <si>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</si>
  <si>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</si>
  <si>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</si>
  <si>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</si>
  <si>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</si>
  <si>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2T 2010</t>
  </si>
  <si>
    <t>Programados 2T 2011</t>
  </si>
  <si>
    <t>Efectivos 2T 2011</t>
  </si>
  <si>
    <t>Efectivo 2T 2010</t>
  </si>
  <si>
    <t>Programado 2T 2011</t>
  </si>
  <si>
    <t>Efectivo 2T 2011</t>
  </si>
  <si>
    <t>En transferencias 2T 2011</t>
  </si>
  <si>
    <t>IPC (2T 2010)</t>
  </si>
  <si>
    <t>IPC (2T 2011)</t>
  </si>
  <si>
    <t>Gasto efectivo real 2T 2010</t>
  </si>
  <si>
    <t>Gasto efectivo real 2T 2011</t>
  </si>
  <si>
    <t>Gasto efectivo real por beneficiario 2T 2010</t>
  </si>
  <si>
    <t>Gasto efectivo real por beneficiario 2T 2011</t>
  </si>
  <si>
    <t>Efectivos 4T 2010</t>
  </si>
  <si>
    <t>Programados 4T 2011</t>
  </si>
  <si>
    <t>Efectivos 4T 2011</t>
  </si>
  <si>
    <t>Efectivo 4T 2010</t>
  </si>
  <si>
    <t>Programado 4T 2011</t>
  </si>
  <si>
    <t>Efectivo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</si>
  <si>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</si>
  <si>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</si>
  <si>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</si>
  <si>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</si>
  <si>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</si>
  <si>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</si>
  <si>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</si>
  <si>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</si>
  <si>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</si>
  <si>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</si>
  <si>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Efectivo  2010</t>
  </si>
  <si>
    <t>Programado  2011</t>
  </si>
  <si>
    <t>Efectivo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</si>
  <si>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</si>
  <si>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</si>
  <si>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</si>
  <si>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</si>
  <si>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</si>
  <si>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</si>
  <si>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</si>
  <si>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Efectivos 3TA 2010</t>
  </si>
  <si>
    <t>Programados 3TA 2011</t>
  </si>
  <si>
    <t>Efectivos 3TA 2011</t>
  </si>
  <si>
    <t>Efectivo 3TA 2010</t>
  </si>
  <si>
    <t>Programado 3TA 2011</t>
  </si>
  <si>
    <t>Efectivo 3TA 2011</t>
  </si>
  <si>
    <t>En transferencias 3TA 2011</t>
  </si>
  <si>
    <t>IPC (3TA 2010)</t>
  </si>
  <si>
    <t>IPC (3TA 2011)</t>
  </si>
  <si>
    <t>Gasto efectivo real 3TA 2010</t>
  </si>
  <si>
    <t>Gasto efectivo real 3TA 2011</t>
  </si>
  <si>
    <t>Gasto efectivo real por beneficiario 3TA 2010</t>
  </si>
  <si>
    <t>Gasto efectivo real por beneficiario 3TA 2011</t>
  </si>
  <si>
    <t>Efectivos 1S 2010</t>
  </si>
  <si>
    <t>Programados 1S 2011</t>
  </si>
  <si>
    <t>Efectivos 1S 2011</t>
  </si>
  <si>
    <t>Efectivo 1S 2010</t>
  </si>
  <si>
    <t>Programado 1S 2011</t>
  </si>
  <si>
    <t>Efectivo 1S 2011</t>
  </si>
  <si>
    <t>En transferencias 1S 2011</t>
  </si>
  <si>
    <t>IPC (1S 2010)</t>
  </si>
  <si>
    <t>IPC (1S 2011)</t>
  </si>
  <si>
    <t>Gasto efectivo real 1S 2010</t>
  </si>
  <si>
    <t>Gasto efectivo real 1S 2011</t>
  </si>
  <si>
    <t>Gasto efectivo real por beneficiario 1S 2010</t>
  </si>
  <si>
    <t>Gasto efectivo real por beneficiario 1S 2011</t>
  </si>
  <si>
    <t>De composición</t>
  </si>
  <si>
    <t>Notas:</t>
  </si>
  <si>
    <t>Para los indicadores de cobertura se utiliza el promedio de beneficiarios del período como medida de población efectivamente atendida</t>
  </si>
  <si>
    <t>Para los indicadores de gasto por beneficiario se utiliza el total de dinero entregado entre el total de subsidios entregados, para obtener el gasto promedio mensual por beneficiario.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</si>
  <si>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</si>
  <si>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</si>
  <si>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</si>
  <si>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</si>
  <si>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Publicidad</t>
  </si>
  <si>
    <t>Informes Trimestrales PFT 2011</t>
  </si>
  <si>
    <t>Informe de gastos y beneficiarios 2010, PFT.</t>
  </si>
  <si>
    <t>Los beneficiarios suelen ser los mismos de un mes a otro, pero existen entradas y salidas de pacientes, por tal razón se utiliza el promedio de beneficiarios del período</t>
  </si>
  <si>
    <t>Total Programa</t>
  </si>
  <si>
    <t>Población objetivo: Muertes por enfermedades crónicas o degenerativas ocurridas en el año (promedio 2000 a 2011), atribuidas a hogares con asalariados asegurados directos al SEM</t>
  </si>
  <si>
    <t>Indicadores aplicados a Pacientes en Fase Terminal. Tercer Trimestre Acumulado 2011</t>
  </si>
  <si>
    <t>Indicadores  aplicados a Pacientes en Fase Terminal. Primer Semestre 2011</t>
  </si>
  <si>
    <t>Indicadores aplicados a Pacientes en Fase Terminal.Cuarto Trimestre 2011</t>
  </si>
  <si>
    <t>Indicadores aplicados a Pacientes en Fase Terminal. Tercer trimestre 2011</t>
  </si>
  <si>
    <t>Indicadores aplicados a Pacientes en Fase Terminal.Segundo Trimestre 2011</t>
  </si>
  <si>
    <t>Indicadores aplicados a Pacientes en Fase Terminal. Primer Trimestre 2011</t>
  </si>
  <si>
    <t>Programa</t>
  </si>
  <si>
    <t xml:space="preserve">Gasto programado anual por beneficiario (GPB) </t>
  </si>
  <si>
    <t xml:space="preserve">Gasto efectivo anual por beneficiario (GEB) </t>
  </si>
  <si>
    <t xml:space="preserve">Gasto efectivo acumulado por beneficiario (GEB) </t>
  </si>
  <si>
    <t xml:space="preserve">Gasto programado acumulado por beneficiario (GPB) </t>
  </si>
  <si>
    <t xml:space="preserve">Gasto programado semestral por beneficiario (GPB) </t>
  </si>
  <si>
    <t xml:space="preserve">Gasto efectivo semestral por beneficiario (GEB) </t>
  </si>
  <si>
    <t>Indicadores aplicados a Pacientes en Fase Terminal. Año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</si>
</sst>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#,##0.0____"/>
    <numFmt numFmtId="166" formatCode="#,##0.00____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1" fillId="0" borderId="0" xfId="0" applyFont="1" applyFill="1"/>
    <xf numFmtId="165" fontId="0" fillId="0" borderId="0" xfId="0" applyNumberFormat="1" applyFill="1"/>
    <xf numFmtId="165" fontId="0" fillId="0" borderId="0" xfId="0" applyNumberFormat="1"/>
    <xf numFmtId="166" fontId="0" fillId="0" borderId="0" xfId="0" applyNumberFormat="1" applyFill="1"/>
    <xf numFmtId="0" fontId="0" fillId="0" borderId="3" xfId="0" applyBorder="1"/>
    <xf numFmtId="2" fontId="0" fillId="0" borderId="0" xfId="0" applyNumberFormat="1" applyFill="1"/>
    <xf numFmtId="0" fontId="0" fillId="0" borderId="2" xfId="0" applyBorder="1" applyAlignment="1">
      <alignment horizontal="center"/>
    </xf>
    <xf numFmtId="167" fontId="4" fillId="0" borderId="0" xfId="1" applyNumberFormat="1" applyFont="1"/>
    <xf numFmtId="0" fontId="5" fillId="0" borderId="0" xfId="0" applyFont="1"/>
    <xf numFmtId="0" fontId="5" fillId="0" borderId="0" xfId="0" applyFont="1" applyFill="1"/>
    <xf numFmtId="167" fontId="0" fillId="0" borderId="0" xfId="1" applyNumberFormat="1" applyFont="1"/>
    <xf numFmtId="167" fontId="0" fillId="0" borderId="2" xfId="1" applyNumberFormat="1" applyFon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0" borderId="3" xfId="1" applyNumberFormat="1" applyFont="1" applyBorder="1" applyAlignment="1">
      <alignment horizontal="center"/>
    </xf>
    <xf numFmtId="167" fontId="1" fillId="0" borderId="0" xfId="1" applyNumberFormat="1" applyFont="1"/>
    <xf numFmtId="167" fontId="0" fillId="0" borderId="0" xfId="1" applyNumberFormat="1" applyFont="1" applyAlignment="1">
      <alignment horizontal="left" indent="1"/>
    </xf>
    <xf numFmtId="167" fontId="0" fillId="0" borderId="0" xfId="1" applyNumberFormat="1" applyFont="1" applyAlignment="1">
      <alignment horizontal="left"/>
    </xf>
    <xf numFmtId="167" fontId="0" fillId="0" borderId="0" xfId="1" applyNumberFormat="1" applyFont="1" applyFill="1"/>
    <xf numFmtId="167" fontId="0" fillId="0" borderId="0" xfId="1" applyNumberFormat="1" applyFont="1" applyFill="1" applyAlignment="1">
      <alignment horizontal="left"/>
    </xf>
    <xf numFmtId="167" fontId="0" fillId="0" borderId="0" xfId="1" applyNumberFormat="1" applyFont="1" applyFill="1" applyAlignment="1">
      <alignment horizontal="left" indent="1"/>
    </xf>
    <xf numFmtId="167" fontId="1" fillId="0" borderId="0" xfId="1" applyNumberFormat="1" applyFont="1" applyFill="1"/>
    <xf numFmtId="167" fontId="0" fillId="0" borderId="3" xfId="1" applyNumberFormat="1" applyFont="1" applyBorder="1"/>
    <xf numFmtId="167" fontId="5" fillId="0" borderId="0" xfId="1" applyNumberFormat="1" applyFont="1"/>
    <xf numFmtId="167" fontId="5" fillId="0" borderId="0" xfId="1" applyNumberFormat="1" applyFont="1" applyFill="1"/>
    <xf numFmtId="167" fontId="2" fillId="0" borderId="0" xfId="1" applyNumberFormat="1" applyFont="1" applyAlignment="1">
      <alignment horizontal="center"/>
    </xf>
    <xf numFmtId="167" fontId="0" fillId="0" borderId="1" xfId="1" applyNumberFormat="1" applyFont="1" applyBorder="1" applyAlignment="1">
      <alignment horizontal="center" vertical="center"/>
    </xf>
    <xf numFmtId="167" fontId="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 wrapText="1"/>
    </xf>
    <xf numFmtId="167" fontId="0" fillId="0" borderId="3" xfId="1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785788824589687E-2"/>
          <c:y val="0.20534167895498301"/>
          <c:w val="0.73021459064604877"/>
          <c:h val="0.485194462606421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Anual!$B$40</c:f>
              <c:numCache>
                <c:formatCode>_(* #,##0_);_(* \(#,##0\);_(* "-"??_);_(@_)</c:formatCode>
                <c:ptCount val="1"/>
                <c:pt idx="0">
                  <c:v>54.517133956386296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Anual!$B$41</c:f>
              <c:numCache>
                <c:formatCode>_(* #,##0_);_(* \(#,##0\);_(* "-"??_);_(@_)</c:formatCode>
                <c:ptCount val="1"/>
                <c:pt idx="0">
                  <c:v>28.154205607476637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64312"/>
        <c:axId val="198064704"/>
      </c:barChart>
      <c:catAx>
        <c:axId val="198064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064704"/>
        <c:crosses val="autoZero"/>
        <c:auto val="1"/>
        <c:lblAlgn val="ctr"/>
        <c:lblOffset val="100"/>
        <c:noMultiLvlLbl val="0"/>
      </c:catAx>
      <c:valAx>
        <c:axId val="198064704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crossAx val="198064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51503652404895"/>
          <c:y val="0.79526346266206671"/>
          <c:w val="0.73526686272649655"/>
          <c:h val="9.983662915252350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3E-2"/>
          <c:y val="0.17218759113444151"/>
          <c:w val="0.58448381452318465"/>
          <c:h val="0.609980679498396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Anual!$B$44:$C$44</c:f>
              <c:numCache>
                <c:formatCode>_(* #,##0_);_(* \(#,##0\);_(* "-"??_);_(@_)</c:formatCode>
                <c:ptCount val="2"/>
                <c:pt idx="0">
                  <c:v>51.642857142857146</c:v>
                </c:pt>
                <c:pt idx="1">
                  <c:v>51.642857142857146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Anual!$B$45:$D$45</c:f>
              <c:numCache>
                <c:formatCode>_(* #,##0_);_(* \(#,##0\);_(* "-"??_);_(@_)</c:formatCode>
                <c:ptCount val="3"/>
                <c:pt idx="0">
                  <c:v>105.93571147889212</c:v>
                </c:pt>
                <c:pt idx="1">
                  <c:v>115.34512991702231</c:v>
                </c:pt>
                <c:pt idx="2">
                  <c:v>71.272595238095235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Anual!$B$46:$C$46</c:f>
              <c:numCache>
                <c:formatCode>_(* #,##0_);_(* \(#,##0\);_(* "-"??_);_(@_)</c:formatCode>
                <c:ptCount val="2"/>
                <c:pt idx="0">
                  <c:v>78.789284310874635</c:v>
                </c:pt>
                <c:pt idx="1">
                  <c:v>83.493993529939729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65488"/>
        <c:axId val="198065880"/>
      </c:barChart>
      <c:catAx>
        <c:axId val="19806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065880"/>
        <c:crosses val="autoZero"/>
        <c:auto val="1"/>
        <c:lblAlgn val="ctr"/>
        <c:lblOffset val="100"/>
        <c:noMultiLvlLbl val="0"/>
      </c:catAx>
      <c:valAx>
        <c:axId val="1980658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8065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3E-2"/>
          <c:y val="0.17218759113444151"/>
          <c:w val="0.54705358705161844"/>
          <c:h val="0.60535104986876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Anual!$B$49:$C$49</c:f>
              <c:numCache>
                <c:formatCode>_(* #,##0_);_(* \(#,##0\);_(* "-"??_);_(@_)</c:formatCode>
                <c:ptCount val="2"/>
                <c:pt idx="0">
                  <c:v>51.642857142857146</c:v>
                </c:pt>
                <c:pt idx="1">
                  <c:v>51.642857142857146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Anual!$B$50:$D$50</c:f>
              <c:numCache>
                <c:formatCode>_(* #,##0_);_(* \(#,##0\);_(* "-"??_);_(@_)</c:formatCode>
                <c:ptCount val="3"/>
                <c:pt idx="0">
                  <c:v>105.93571147889212</c:v>
                </c:pt>
                <c:pt idx="1">
                  <c:v>115.34512991702231</c:v>
                </c:pt>
                <c:pt idx="2">
                  <c:v>71.272595238095235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Anual!$B$51:$C$51</c:f>
              <c:numCache>
                <c:formatCode>_(* #,##0_);_(* \(#,##0\);_(* "-"??_);_(@_)</c:formatCode>
                <c:ptCount val="2"/>
                <c:pt idx="0">
                  <c:v>78.789284310874635</c:v>
                </c:pt>
                <c:pt idx="1">
                  <c:v>83.493993529939729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15424"/>
        <c:axId val="196915816"/>
      </c:barChart>
      <c:catAx>
        <c:axId val="19691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915816"/>
        <c:crosses val="autoZero"/>
        <c:auto val="1"/>
        <c:lblAlgn val="ctr"/>
        <c:lblOffset val="100"/>
        <c:noMultiLvlLbl val="0"/>
      </c:catAx>
      <c:valAx>
        <c:axId val="196915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6915424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Composición y de Giro de Recursos</a:t>
            </a:r>
          </a:p>
        </c:rich>
      </c:tx>
      <c:layout>
        <c:manualLayout>
          <c:xMode val="edge"/>
          <c:yMode val="edge"/>
          <c:x val="0.10451377952755911"/>
          <c:y val="2.7777777777777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71741032370946E-2"/>
          <c:y val="0.25130796150481194"/>
          <c:w val="0.54381692913385826"/>
          <c:h val="0.4984529017206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_(* #,##0_);_(* \(#,##0\);_(* "-"??_);_(@_)</c:formatCode>
                <c:ptCount val="1"/>
                <c:pt idx="0">
                  <c:v>85.636015123515051</c:v>
                </c:pt>
              </c:numCache>
            </c:numRef>
          </c:val>
        </c:ser>
        <c:ser>
          <c:idx val="1"/>
          <c:order val="1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_(* #,##0_);_(* \(#,##0\);_(* "-"??_);_(@_)</c:formatCode>
                <c:ptCount val="1"/>
                <c:pt idx="0">
                  <c:v>98.421565738643338</c:v>
                </c:pt>
              </c:numCache>
            </c:numRef>
          </c:val>
        </c:ser>
        <c:ser>
          <c:idx val="2"/>
          <c:order val="2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_(* #,##0_);_(* \(#,##0\);_(* "-"??_);_(@_)</c:formatCode>
                <c:ptCount val="1"/>
                <c:pt idx="0">
                  <c:v>107.6346537304664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16600"/>
        <c:axId val="196916992"/>
      </c:barChart>
      <c:catAx>
        <c:axId val="196916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916992"/>
        <c:crosses val="autoZero"/>
        <c:auto val="1"/>
        <c:lblAlgn val="ctr"/>
        <c:lblOffset val="100"/>
        <c:noMultiLvlLbl val="0"/>
      </c:catAx>
      <c:valAx>
        <c:axId val="1969169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6916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918285214348208"/>
          <c:y val="0.17218759113444151"/>
          <c:w val="0.52692825896762907"/>
          <c:h val="0.66993037328667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Anual!$B$57</c:f>
              <c:numCache>
                <c:formatCode>_(* #,##0_);_(* \(#,##0\);_(* "-"??_);_(@_)</c:formatCode>
                <c:ptCount val="1"/>
                <c:pt idx="0">
                  <c:v>25.739130434782599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Anual!$B$58:$D$58</c:f>
              <c:numCache>
                <c:formatCode>_(* #,##0_);_(* \(#,##0\);_(* "-"??_);_(@_)</c:formatCode>
                <c:ptCount val="3"/>
                <c:pt idx="0">
                  <c:v>-48.586306374372782</c:v>
                </c:pt>
                <c:pt idx="1">
                  <c:v>42.89262081364047</c:v>
                </c:pt>
                <c:pt idx="2">
                  <c:v>-89.32604307627507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Publicidad</c:v>
                </c:pt>
              </c:strCache>
            </c:strRef>
          </c:cat>
          <c:val>
            <c:numRef>
              <c:f>Anual!$B$59:$C$59</c:f>
              <c:numCache>
                <c:formatCode>_(* #,##0_);_(* \(#,##0\);_(* "-"??_);_(@_)</c:formatCode>
                <c:ptCount val="2"/>
                <c:pt idx="0">
                  <c:v>-59.110824571596595</c:v>
                </c:pt>
                <c:pt idx="1">
                  <c:v>13.642125819976858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17776"/>
        <c:axId val="196918168"/>
      </c:barChart>
      <c:catAx>
        <c:axId val="196917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918168"/>
        <c:crosses val="autoZero"/>
        <c:auto val="1"/>
        <c:lblAlgn val="ctr"/>
        <c:lblOffset val="100"/>
        <c:noMultiLvlLbl val="0"/>
      </c:catAx>
      <c:valAx>
        <c:axId val="19691816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96917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Anual!$B$62:$C$62</c:f>
              <c:numCache>
                <c:formatCode>_(* #,##0_);_(* \(#,##0\);_(* "-"??_);_(@_)</c:formatCode>
                <c:ptCount val="2"/>
                <c:pt idx="0">
                  <c:v>234193.72285714286</c:v>
                </c:pt>
                <c:pt idx="1">
                  <c:v>184193.72285714286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Anual!$B$63:$C$63</c:f>
              <c:numCache>
                <c:formatCode>_(* #,##0_);_(* \(#,##0\);_(* "-"??_);_(@_)</c:formatCode>
                <c:ptCount val="2"/>
                <c:pt idx="0">
                  <c:v>480404.84255417244</c:v>
                </c:pt>
                <c:pt idx="1">
                  <c:v>411399.56362378976</c:v>
                </c:pt>
              </c:numCache>
            </c:numRef>
          </c:val>
        </c:ser>
        <c:ser>
          <c:idx val="2"/>
          <c:order val="2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Anual!$B$65:$C$65</c:f>
              <c:numCache>
                <c:formatCode>_(* #,##0_);_(* \(#,##0\);_(* "-"??_);_(@_)</c:formatCode>
                <c:ptCount val="2"/>
                <c:pt idx="0">
                  <c:v>702581.16857142863</c:v>
                </c:pt>
                <c:pt idx="1">
                  <c:v>552581.16857142863</c:v>
                </c:pt>
              </c:numCache>
            </c:numRef>
          </c:val>
        </c:ser>
        <c:ser>
          <c:idx val="3"/>
          <c:order val="3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Anual!$B$66:$C$66</c:f>
              <c:numCache>
                <c:formatCode>_(* #,##0_);_(* \(#,##0\);_(* "-"??_);_(@_)</c:formatCode>
                <c:ptCount val="2"/>
                <c:pt idx="0">
                  <c:v>1441214.5276625173</c:v>
                </c:pt>
                <c:pt idx="1">
                  <c:v>1234198.6908713693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6918952"/>
        <c:axId val="196919344"/>
      </c:barChart>
      <c:catAx>
        <c:axId val="196918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919344"/>
        <c:crosses val="autoZero"/>
        <c:auto val="1"/>
        <c:lblAlgn val="ctr"/>
        <c:lblOffset val="100"/>
        <c:noMultiLvlLbl val="0"/>
      </c:catAx>
      <c:valAx>
        <c:axId val="19691934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196918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Índice de eficiencia (IE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4920634920634921E-2"/>
          <c:y val="0.26213913536075156"/>
          <c:w val="0.81758059723666621"/>
          <c:h val="0.4524136083355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Anual!$B$64:$C$64</c:f>
              <c:numCache>
                <c:formatCode>_(* #,##0_);_(* \(#,##0\);_(* "-"??_);_(@_)</c:formatCode>
                <c:ptCount val="2"/>
                <c:pt idx="0">
                  <c:v>38.40917946603107</c:v>
                </c:pt>
                <c:pt idx="1">
                  <c:v>37.382318466806659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20128"/>
        <c:axId val="196920520"/>
      </c:barChart>
      <c:catAx>
        <c:axId val="196920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920520"/>
        <c:crosses val="autoZero"/>
        <c:auto val="1"/>
        <c:lblAlgn val="ctr"/>
        <c:lblOffset val="100"/>
        <c:noMultiLvlLbl val="0"/>
      </c:catAx>
      <c:valAx>
        <c:axId val="19692052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one"/>
        <c:crossAx val="196920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193705739612736"/>
          <c:y val="0.78759143474151694"/>
          <c:w val="0.39587920419460326"/>
          <c:h val="0.1002517064175969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1</xdr:row>
      <xdr:rowOff>185737</xdr:rowOff>
    </xdr:from>
    <xdr:to>
      <xdr:col>9</xdr:col>
      <xdr:colOff>323849</xdr:colOff>
      <xdr:row>13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619125</xdr:colOff>
      <xdr:row>14</xdr:row>
      <xdr:rowOff>157162</xdr:rowOff>
    </xdr:from>
    <xdr:to>
      <xdr:col>10</xdr:col>
      <xdr:colOff>257175</xdr:colOff>
      <xdr:row>29</xdr:row>
      <xdr:rowOff>42862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609600</xdr:colOff>
      <xdr:row>30</xdr:row>
      <xdr:rowOff>4762</xdr:rowOff>
    </xdr:from>
    <xdr:to>
      <xdr:col>10</xdr:col>
      <xdr:colOff>247650</xdr:colOff>
      <xdr:row>44</xdr:row>
      <xdr:rowOff>80962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571500</xdr:colOff>
      <xdr:row>45</xdr:row>
      <xdr:rowOff>90487</xdr:rowOff>
    </xdr:from>
    <xdr:to>
      <xdr:col>10</xdr:col>
      <xdr:colOff>209550</xdr:colOff>
      <xdr:row>59</xdr:row>
      <xdr:rowOff>166687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552450</xdr:colOff>
      <xdr:row>60</xdr:row>
      <xdr:rowOff>128587</xdr:rowOff>
    </xdr:from>
    <xdr:to>
      <xdr:col>10</xdr:col>
      <xdr:colOff>190500</xdr:colOff>
      <xdr:row>74</xdr:row>
      <xdr:rowOff>185737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1019175</xdr:colOff>
      <xdr:row>84</xdr:row>
      <xdr:rowOff>176211</xdr:rowOff>
    </xdr:from>
    <xdr:to>
      <xdr:col>9</xdr:col>
      <xdr:colOff>9525</xdr:colOff>
      <xdr:row>101</xdr:row>
      <xdr:rowOff>28574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600074</xdr:colOff>
      <xdr:row>89</xdr:row>
      <xdr:rowOff>4761</xdr:rowOff>
    </xdr:from>
    <xdr:to>
      <xdr:col>1</xdr:col>
      <xdr:colOff>1028699</xdr:colOff>
      <xdr:row>101</xdr:row>
      <xdr:rowOff>9525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0.91304</cdr:y>
    </cdr:from>
    <cdr:to>
      <cdr:x>1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0" y="2100262"/>
          <a:ext cx="3952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0.04236</cdr:x>
      <cdr:y>0.88657</cdr:y>
    </cdr:from>
    <cdr:to>
      <cdr:x>0.97361</cdr:x>
      <cdr:y>0.97978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3675" y="2432050"/>
          <a:ext cx="4257675" cy="255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 </a:t>
          </a:r>
          <a:r>
            <a:rPr lang="es-CR" sz="900"/>
            <a:t>DESAF.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0.04028</cdr:x>
      <cdr:y>0.8831</cdr:y>
    </cdr:from>
    <cdr:to>
      <cdr:x>0.97153</cdr:x>
      <cdr:y>0.97631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4150" y="2422525"/>
          <a:ext cx="4257675" cy="255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 </a:t>
          </a:r>
          <a:r>
            <a:rPr lang="es-CR" sz="900"/>
            <a:t>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0.04444</cdr:x>
      <cdr:y>0.87269</cdr:y>
    </cdr:from>
    <cdr:to>
      <cdr:x>0.97569</cdr:x>
      <cdr:y>0.9659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200" y="2393950"/>
          <a:ext cx="4257675" cy="25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DESAF.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0.06528</cdr:x>
      <cdr:y>0.89352</cdr:y>
    </cdr:from>
    <cdr:to>
      <cdr:x>0.99653</cdr:x>
      <cdr:y>0.98673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8450" y="2451100"/>
          <a:ext cx="4257675" cy="255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0.88148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901719"/>
          <a:ext cx="4038600" cy="255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topLeftCell="A53" workbookViewId="0">
      <selection activeCell="L6" sqref="L6:P8"/>
    </sheetView>
  </sheetViews>
  <sheetFormatPr baseColWidth="10" defaultRowHeight="15" x14ac:dyDescent="0.25"/>
  <cols>
    <col min="1" max="1" width="55.140625" style="22" customWidth="1"/>
    <col min="2" max="2" width="16.140625" style="22" customWidth="1"/>
    <col min="3" max="3" width="15.5703125" style="22" customWidth="1"/>
    <col min="4" max="4" width="14.5703125" style="22" customWidth="1"/>
    <col min="5" max="5" width="12.85546875" style="22" bestFit="1" customWidth="1"/>
    <col min="6" max="8" width="12.5703125" style="22" bestFit="1" customWidth="1"/>
    <col min="9" max="16384" width="11.42578125" style="22"/>
  </cols>
  <sheetData>
    <row r="2" spans="1:13" ht="15.75" x14ac:dyDescent="0.25">
      <c r="A2" s="36" t="s">
        <v>148</v>
      </c>
      <c r="B2" s="36"/>
      <c r="C2" s="36"/>
      <c r="D2" s="36"/>
    </row>
    <row r="4" spans="1:13" x14ac:dyDescent="0.25">
      <c r="A4" s="37" t="s">
        <v>0</v>
      </c>
      <c r="B4" s="24" t="s">
        <v>1</v>
      </c>
      <c r="C4" s="23" t="s">
        <v>2</v>
      </c>
      <c r="D4" s="24" t="s">
        <v>5</v>
      </c>
    </row>
    <row r="5" spans="1:13" ht="15.75" thickBot="1" x14ac:dyDescent="0.3">
      <c r="A5" s="38"/>
      <c r="B5" s="25" t="s">
        <v>149</v>
      </c>
      <c r="C5" s="25" t="s">
        <v>4</v>
      </c>
      <c r="D5" s="25" t="s">
        <v>137</v>
      </c>
    </row>
    <row r="6" spans="1:13" ht="15.75" thickTop="1" x14ac:dyDescent="0.25"/>
    <row r="7" spans="1:13" x14ac:dyDescent="0.25">
      <c r="A7" s="26" t="s">
        <v>6</v>
      </c>
      <c r="M7" s="29"/>
    </row>
    <row r="8" spans="1:13" x14ac:dyDescent="0.25">
      <c r="M8" s="29"/>
    </row>
    <row r="9" spans="1:13" x14ac:dyDescent="0.25">
      <c r="A9" s="22" t="s">
        <v>7</v>
      </c>
    </row>
    <row r="10" spans="1:13" x14ac:dyDescent="0.25">
      <c r="A10" s="27" t="s">
        <v>51</v>
      </c>
      <c r="B10" s="22">
        <f>C10</f>
        <v>130</v>
      </c>
      <c r="C10" s="22">
        <v>130</v>
      </c>
    </row>
    <row r="11" spans="1:13" x14ac:dyDescent="0.25">
      <c r="A11" s="27" t="s">
        <v>52</v>
      </c>
      <c r="B11" s="22">
        <f>C11</f>
        <v>350</v>
      </c>
      <c r="C11" s="22">
        <f>350</f>
        <v>350</v>
      </c>
    </row>
    <row r="12" spans="1:13" x14ac:dyDescent="0.25">
      <c r="A12" s="27" t="s">
        <v>53</v>
      </c>
      <c r="B12" s="22">
        <f>C12</f>
        <v>146</v>
      </c>
      <c r="C12" s="22">
        <v>146</v>
      </c>
    </row>
    <row r="13" spans="1:13" x14ac:dyDescent="0.25">
      <c r="A13" s="27" t="s">
        <v>11</v>
      </c>
      <c r="B13" s="22">
        <f>C13</f>
        <v>350</v>
      </c>
      <c r="C13" s="22">
        <f>350</f>
        <v>350</v>
      </c>
    </row>
    <row r="15" spans="1:13" x14ac:dyDescent="0.25">
      <c r="A15" s="28" t="s">
        <v>12</v>
      </c>
    </row>
    <row r="16" spans="1:13" x14ac:dyDescent="0.25">
      <c r="A16" s="27" t="s">
        <v>54</v>
      </c>
      <c r="B16" s="22">
        <f>SUM(C16:D16)</f>
        <v>442063109.69999999</v>
      </c>
      <c r="C16" s="29">
        <v>107813109.69999999</v>
      </c>
      <c r="D16" s="29">
        <v>334250000</v>
      </c>
    </row>
    <row r="17" spans="1:4" x14ac:dyDescent="0.25">
      <c r="A17" s="27" t="s">
        <v>55</v>
      </c>
      <c r="B17" s="22">
        <f>SUM(C17:D17)</f>
        <v>245903409</v>
      </c>
      <c r="C17" s="22">
        <v>193403409</v>
      </c>
      <c r="D17" s="22">
        <f>37500000+15000000</f>
        <v>52500000</v>
      </c>
    </row>
    <row r="18" spans="1:4" x14ac:dyDescent="0.25">
      <c r="A18" s="27" t="s">
        <v>56</v>
      </c>
      <c r="B18" s="22">
        <f>SUM(C18:D18)</f>
        <v>181384045</v>
      </c>
      <c r="C18" s="22">
        <v>176179045</v>
      </c>
      <c r="D18" s="22">
        <v>5205000</v>
      </c>
    </row>
    <row r="19" spans="1:4" x14ac:dyDescent="0.25">
      <c r="A19" s="27" t="s">
        <v>11</v>
      </c>
      <c r="B19" s="22">
        <v>983613636</v>
      </c>
      <c r="C19" s="22">
        <v>773613636</v>
      </c>
      <c r="D19" s="22">
        <f>150000000+60000000</f>
        <v>210000000</v>
      </c>
    </row>
    <row r="20" spans="1:4" x14ac:dyDescent="0.25">
      <c r="A20" s="27" t="s">
        <v>57</v>
      </c>
      <c r="B20" s="22">
        <f>C20</f>
        <v>176179045</v>
      </c>
      <c r="C20" s="22">
        <f>C18</f>
        <v>176179045</v>
      </c>
    </row>
    <row r="22" spans="1:4" x14ac:dyDescent="0.25">
      <c r="A22" s="30" t="s">
        <v>17</v>
      </c>
      <c r="B22" s="29"/>
      <c r="C22" s="29"/>
      <c r="D22" s="29"/>
    </row>
    <row r="23" spans="1:4" x14ac:dyDescent="0.25">
      <c r="A23" s="31" t="s">
        <v>52</v>
      </c>
      <c r="B23" s="29">
        <f>B17</f>
        <v>245903409</v>
      </c>
      <c r="C23" s="29"/>
      <c r="D23" s="29"/>
    </row>
    <row r="24" spans="1:4" x14ac:dyDescent="0.25">
      <c r="A24" s="31" t="s">
        <v>53</v>
      </c>
      <c r="B24" s="29">
        <v>164782132.89999998</v>
      </c>
      <c r="C24" s="29"/>
      <c r="D24" s="29"/>
    </row>
    <row r="25" spans="1:4" x14ac:dyDescent="0.25">
      <c r="A25" s="29"/>
      <c r="B25" s="29"/>
      <c r="C25" s="29"/>
      <c r="D25" s="29"/>
    </row>
    <row r="26" spans="1:4" x14ac:dyDescent="0.25">
      <c r="A26" s="29" t="s">
        <v>18</v>
      </c>
      <c r="B26" s="29"/>
      <c r="C26" s="29"/>
      <c r="D26" s="29"/>
    </row>
    <row r="27" spans="1:4" x14ac:dyDescent="0.25">
      <c r="A27" s="31" t="s">
        <v>58</v>
      </c>
      <c r="B27" s="29">
        <v>1.3815129375000001</v>
      </c>
      <c r="C27" s="29">
        <v>1.3815129375000001</v>
      </c>
      <c r="D27" s="29">
        <v>1.3815129375000001</v>
      </c>
    </row>
    <row r="28" spans="1:4" x14ac:dyDescent="0.25">
      <c r="A28" s="31" t="s">
        <v>59</v>
      </c>
      <c r="B28" s="29">
        <v>1.4459435845999999</v>
      </c>
      <c r="C28" s="29">
        <v>1.4459435845999999</v>
      </c>
      <c r="D28" s="29">
        <v>1.4459435845999999</v>
      </c>
    </row>
    <row r="29" spans="1:4" x14ac:dyDescent="0.25">
      <c r="A29" s="31" t="s">
        <v>21</v>
      </c>
      <c r="B29" s="29">
        <v>642</v>
      </c>
      <c r="C29" s="29">
        <v>642</v>
      </c>
      <c r="D29" s="29">
        <v>642</v>
      </c>
    </row>
    <row r="30" spans="1:4" x14ac:dyDescent="0.25">
      <c r="A30" s="29"/>
      <c r="B30" s="29"/>
      <c r="C30" s="29"/>
      <c r="D30" s="29"/>
    </row>
    <row r="31" spans="1:4" x14ac:dyDescent="0.25">
      <c r="A31" s="32" t="s">
        <v>22</v>
      </c>
      <c r="B31" s="29"/>
      <c r="C31" s="29"/>
      <c r="D31" s="29"/>
    </row>
    <row r="32" spans="1:4" x14ac:dyDescent="0.25">
      <c r="A32" s="29" t="s">
        <v>60</v>
      </c>
      <c r="B32" s="29">
        <f>B16/B27</f>
        <v>319984777.34125447</v>
      </c>
      <c r="C32" s="29">
        <f>C16/C27</f>
        <v>78039884.226563737</v>
      </c>
      <c r="D32" s="29">
        <f>D16/D27</f>
        <v>241944893.11469075</v>
      </c>
    </row>
    <row r="33" spans="1:8" x14ac:dyDescent="0.25">
      <c r="A33" s="29" t="s">
        <v>61</v>
      </c>
      <c r="B33" s="29">
        <f>B18/B28</f>
        <v>125443376.16752687</v>
      </c>
      <c r="C33" s="29">
        <f>C18/C28</f>
        <v>121843650.66271757</v>
      </c>
      <c r="D33" s="29">
        <f>D18/D28</f>
        <v>3599725.5048092976</v>
      </c>
    </row>
    <row r="34" spans="1:8" x14ac:dyDescent="0.25">
      <c r="A34" s="29" t="s">
        <v>62</v>
      </c>
      <c r="B34" s="29">
        <f>B32/B10</f>
        <v>2461421.3641634961</v>
      </c>
      <c r="C34" s="29">
        <f t="shared" ref="C34" si="0">C32/C10</f>
        <v>600306.80174279795</v>
      </c>
      <c r="D34" s="29"/>
    </row>
    <row r="35" spans="1:8" x14ac:dyDescent="0.25">
      <c r="A35" s="29" t="s">
        <v>63</v>
      </c>
      <c r="B35" s="29">
        <f>B33/B12</f>
        <v>859201.2066268964</v>
      </c>
      <c r="C35" s="29">
        <f>C33/C12</f>
        <v>834545.55248436693</v>
      </c>
      <c r="D35" s="29"/>
    </row>
    <row r="37" spans="1:8" x14ac:dyDescent="0.25">
      <c r="A37" s="26" t="s">
        <v>27</v>
      </c>
    </row>
    <row r="39" spans="1:8" x14ac:dyDescent="0.25">
      <c r="A39" s="22" t="s">
        <v>28</v>
      </c>
    </row>
    <row r="40" spans="1:8" x14ac:dyDescent="0.25">
      <c r="A40" s="22" t="s">
        <v>29</v>
      </c>
      <c r="B40" s="29">
        <f>(B11*100)/(B29)</f>
        <v>54.517133956386296</v>
      </c>
      <c r="C40" s="29">
        <f>(C11*100)/(C29)</f>
        <v>54.517133956386296</v>
      </c>
      <c r="D40" s="29"/>
      <c r="E40" s="29"/>
      <c r="F40" s="29"/>
      <c r="G40" s="29"/>
      <c r="H40" s="29"/>
    </row>
    <row r="41" spans="1:8" x14ac:dyDescent="0.25">
      <c r="A41" s="22" t="s">
        <v>30</v>
      </c>
      <c r="B41" s="29">
        <f>(B12*100)/(B29)</f>
        <v>22.741433021806852</v>
      </c>
      <c r="C41" s="29">
        <f>(C12*100)/(C29)</f>
        <v>22.741433021806852</v>
      </c>
      <c r="D41" s="29"/>
    </row>
    <row r="43" spans="1:8" x14ac:dyDescent="0.25">
      <c r="A43" s="22" t="s">
        <v>31</v>
      </c>
    </row>
    <row r="44" spans="1:8" x14ac:dyDescent="0.25">
      <c r="A44" s="22" t="s">
        <v>32</v>
      </c>
      <c r="B44" s="22">
        <f>B12/B11*100</f>
        <v>41.714285714285715</v>
      </c>
      <c r="C44" s="22">
        <f>C12/C11*100</f>
        <v>41.714285714285715</v>
      </c>
    </row>
    <row r="45" spans="1:8" x14ac:dyDescent="0.25">
      <c r="A45" s="22" t="s">
        <v>33</v>
      </c>
      <c r="B45" s="22">
        <f>B18/B17*100</f>
        <v>73.762314128796802</v>
      </c>
      <c r="C45" s="22">
        <f>C18/C17*100</f>
        <v>91.094074251814249</v>
      </c>
      <c r="D45" s="22">
        <f>D18/D17*100</f>
        <v>9.9142857142857146</v>
      </c>
    </row>
    <row r="46" spans="1:8" x14ac:dyDescent="0.25">
      <c r="A46" s="29" t="s">
        <v>34</v>
      </c>
      <c r="B46" s="29">
        <f>AVERAGE(B44:B45)</f>
        <v>57.738299921541255</v>
      </c>
      <c r="C46" s="29">
        <f>AVERAGE(C44:C45)</f>
        <v>66.404179983049985</v>
      </c>
      <c r="D46" s="29"/>
    </row>
    <row r="47" spans="1:8" x14ac:dyDescent="0.25">
      <c r="A47" s="29"/>
      <c r="B47" s="29"/>
      <c r="C47" s="29"/>
      <c r="D47" s="29"/>
    </row>
    <row r="48" spans="1:8" x14ac:dyDescent="0.25">
      <c r="A48" s="29" t="s">
        <v>35</v>
      </c>
      <c r="B48" s="29"/>
      <c r="C48" s="29"/>
      <c r="D48" s="29"/>
    </row>
    <row r="49" spans="1:4" x14ac:dyDescent="0.25">
      <c r="A49" s="29" t="s">
        <v>36</v>
      </c>
      <c r="B49" s="29">
        <f>B12/(B13*4)*100</f>
        <v>10.428571428571429</v>
      </c>
      <c r="C49" s="29">
        <f>C12/(C13*4)*100</f>
        <v>10.428571428571429</v>
      </c>
      <c r="D49" s="29"/>
    </row>
    <row r="50" spans="1:4" x14ac:dyDescent="0.25">
      <c r="A50" s="29" t="s">
        <v>37</v>
      </c>
      <c r="B50" s="29">
        <f>B18/B19*100</f>
        <v>18.440578532199201</v>
      </c>
      <c r="C50" s="29">
        <f>C18/C19*100</f>
        <v>22.773518562953562</v>
      </c>
      <c r="D50" s="29">
        <f>D18/D19*100</f>
        <v>2.4785714285714286</v>
      </c>
    </row>
    <row r="51" spans="1:4" x14ac:dyDescent="0.25">
      <c r="A51" s="29" t="s">
        <v>38</v>
      </c>
      <c r="B51" s="29">
        <f>(B49+B50)/2</f>
        <v>14.434574980385314</v>
      </c>
      <c r="C51" s="29">
        <f>(C49+C50)/2</f>
        <v>16.601044995762496</v>
      </c>
      <c r="D51" s="29"/>
    </row>
    <row r="52" spans="1:4" x14ac:dyDescent="0.25">
      <c r="A52" s="29"/>
      <c r="B52" s="29"/>
      <c r="C52" s="29"/>
      <c r="D52" s="29"/>
    </row>
    <row r="53" spans="1:4" x14ac:dyDescent="0.25">
      <c r="A53" s="29" t="s">
        <v>129</v>
      </c>
      <c r="B53" s="29"/>
      <c r="C53" s="29"/>
      <c r="D53" s="29"/>
    </row>
    <row r="54" spans="1:4" x14ac:dyDescent="0.25">
      <c r="A54" s="29" t="s">
        <v>39</v>
      </c>
      <c r="B54" s="29">
        <f>(B20/B18)*100</f>
        <v>97.130398100891398</v>
      </c>
      <c r="C54" s="29"/>
      <c r="D54" s="29"/>
    </row>
    <row r="55" spans="1:4" x14ac:dyDescent="0.25">
      <c r="A55" s="29"/>
      <c r="B55" s="29"/>
      <c r="C55" s="29"/>
      <c r="D55" s="29"/>
    </row>
    <row r="56" spans="1:4" x14ac:dyDescent="0.25">
      <c r="A56" s="29" t="s">
        <v>40</v>
      </c>
      <c r="B56" s="29"/>
      <c r="C56" s="29"/>
      <c r="D56" s="29"/>
    </row>
    <row r="57" spans="1:4" x14ac:dyDescent="0.25">
      <c r="A57" s="29" t="s">
        <v>41</v>
      </c>
      <c r="B57" s="22">
        <f>((B12/B10)-1)*100</f>
        <v>12.307692307692308</v>
      </c>
      <c r="D57" s="29"/>
    </row>
    <row r="58" spans="1:4" x14ac:dyDescent="0.25">
      <c r="A58" s="29" t="s">
        <v>42</v>
      </c>
      <c r="B58" s="22">
        <f>((B33/B32)-1)*100</f>
        <v>-60.797080033046335</v>
      </c>
      <c r="C58" s="22">
        <f>((C33/C32)-1)*100</f>
        <v>56.129973628591841</v>
      </c>
      <c r="D58" s="22">
        <f>((D33/D32)-1)*100</f>
        <v>-98.512171321961773</v>
      </c>
    </row>
    <row r="59" spans="1:4" x14ac:dyDescent="0.25">
      <c r="A59" s="29" t="s">
        <v>43</v>
      </c>
      <c r="B59" s="22">
        <f>((B35/B34)-1)*100</f>
        <v>-65.093290440383726</v>
      </c>
      <c r="C59" s="22">
        <f>((C35/C34)-1)*100</f>
        <v>39.019839532307813</v>
      </c>
    </row>
    <row r="60" spans="1:4" x14ac:dyDescent="0.25">
      <c r="A60" s="29"/>
      <c r="B60" s="29"/>
      <c r="C60" s="29"/>
      <c r="D60" s="29"/>
    </row>
    <row r="61" spans="1:4" x14ac:dyDescent="0.25">
      <c r="A61" s="29" t="s">
        <v>44</v>
      </c>
      <c r="B61" s="29"/>
      <c r="C61" s="29"/>
      <c r="D61" s="29"/>
    </row>
    <row r="62" spans="1:4" x14ac:dyDescent="0.25">
      <c r="A62" s="22" t="s">
        <v>133</v>
      </c>
      <c r="B62" s="29">
        <f>B17/(B11*3)</f>
        <v>234193.72285714286</v>
      </c>
      <c r="C62" s="29">
        <f>C17/(C11*3)</f>
        <v>184193.72285714286</v>
      </c>
      <c r="D62" s="29"/>
    </row>
    <row r="63" spans="1:4" x14ac:dyDescent="0.25">
      <c r="A63" s="22" t="s">
        <v>134</v>
      </c>
      <c r="B63" s="29">
        <f>B18/(B12*3)</f>
        <v>414118.82420091325</v>
      </c>
      <c r="C63" s="29">
        <f>C18/(C12*3)</f>
        <v>402235.26255707763</v>
      </c>
      <c r="D63" s="29"/>
    </row>
    <row r="64" spans="1:4" x14ac:dyDescent="0.25">
      <c r="A64" s="29" t="s">
        <v>45</v>
      </c>
      <c r="B64" s="29">
        <f>(B62/B63)*B46</f>
        <v>32.65233701018078</v>
      </c>
      <c r="C64" s="29">
        <f>(C62/C63)*C46</f>
        <v>30.408157272432369</v>
      </c>
      <c r="D64" s="29"/>
    </row>
    <row r="65" spans="1:4" x14ac:dyDescent="0.25">
      <c r="A65" s="29" t="s">
        <v>135</v>
      </c>
      <c r="B65" s="29">
        <f>B17/B11</f>
        <v>702581.16857142863</v>
      </c>
      <c r="C65" s="29">
        <f>C17/C11</f>
        <v>552581.16857142863</v>
      </c>
      <c r="D65" s="29"/>
    </row>
    <row r="66" spans="1:4" x14ac:dyDescent="0.25">
      <c r="A66" s="29" t="s">
        <v>136</v>
      </c>
      <c r="B66" s="29">
        <f>B18/B12</f>
        <v>1242356.4726027397</v>
      </c>
      <c r="C66" s="29">
        <f>C18/C12</f>
        <v>1206705.7876712328</v>
      </c>
      <c r="D66" s="29"/>
    </row>
    <row r="67" spans="1:4" x14ac:dyDescent="0.25">
      <c r="B67" s="29"/>
      <c r="C67" s="29"/>
    </row>
    <row r="68" spans="1:4" x14ac:dyDescent="0.25">
      <c r="A68" s="22" t="s">
        <v>46</v>
      </c>
    </row>
    <row r="69" spans="1:4" x14ac:dyDescent="0.25">
      <c r="A69" s="29" t="s">
        <v>47</v>
      </c>
      <c r="B69" s="29">
        <f>(B24/B23)*100</f>
        <v>67.010918461890853</v>
      </c>
      <c r="C69" s="29"/>
      <c r="D69" s="29"/>
    </row>
    <row r="70" spans="1:4" x14ac:dyDescent="0.25">
      <c r="A70" s="29" t="s">
        <v>48</v>
      </c>
      <c r="B70" s="29">
        <f>(B18/B24)*100</f>
        <v>110.07506809617223</v>
      </c>
      <c r="C70" s="29"/>
      <c r="D70" s="29"/>
    </row>
    <row r="71" spans="1:4" ht="15.75" thickBot="1" x14ac:dyDescent="0.3">
      <c r="A71" s="33"/>
      <c r="B71" s="33"/>
      <c r="C71" s="33"/>
      <c r="D71" s="33"/>
    </row>
    <row r="72" spans="1:4" ht="15.75" thickTop="1" x14ac:dyDescent="0.25"/>
    <row r="73" spans="1:4" x14ac:dyDescent="0.25">
      <c r="A73" s="22" t="s">
        <v>49</v>
      </c>
    </row>
    <row r="74" spans="1:4" x14ac:dyDescent="0.25">
      <c r="A74" s="22" t="s">
        <v>139</v>
      </c>
    </row>
    <row r="75" spans="1:4" x14ac:dyDescent="0.25">
      <c r="A75" s="22" t="s">
        <v>50</v>
      </c>
    </row>
    <row r="76" spans="1:4" x14ac:dyDescent="0.25">
      <c r="A76" s="22" t="s">
        <v>138</v>
      </c>
    </row>
    <row r="78" spans="1:4" x14ac:dyDescent="0.25">
      <c r="A78" s="22" t="s">
        <v>130</v>
      </c>
    </row>
    <row r="79" spans="1:4" x14ac:dyDescent="0.25">
      <c r="A79" s="34" t="s">
        <v>140</v>
      </c>
    </row>
    <row r="80" spans="1:4" s="29" customFormat="1" x14ac:dyDescent="0.25">
      <c r="A80" s="35" t="s">
        <v>131</v>
      </c>
    </row>
    <row r="81" spans="1:1" s="29" customFormat="1" x14ac:dyDescent="0.25">
      <c r="A81" s="35" t="s">
        <v>132</v>
      </c>
    </row>
    <row r="82" spans="1:1" s="29" customFormat="1" x14ac:dyDescent="0.25">
      <c r="A82" s="35" t="s">
        <v>142</v>
      </c>
    </row>
    <row r="83" spans="1:1" s="29" customFormat="1" x14ac:dyDescent="0.25"/>
  </sheetData>
  <mergeCells count="2">
    <mergeCell ref="A2:D2"/>
    <mergeCell ref="A4: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115" workbookViewId="0">
      <selection activeCell="B18" sqref="B18"/>
    </sheetView>
  </sheetViews>
  <sheetFormatPr baseColWidth="10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4" ht="15.75" x14ac:dyDescent="0.25">
      <c r="A2" s="39" t="s">
        <v>147</v>
      </c>
      <c r="B2" s="39"/>
      <c r="C2" s="39"/>
      <c r="D2" s="39"/>
    </row>
    <row r="4" spans="1:4" x14ac:dyDescent="0.25">
      <c r="A4" s="40" t="s">
        <v>0</v>
      </c>
      <c r="B4" s="1" t="s">
        <v>1</v>
      </c>
      <c r="C4" s="18" t="s">
        <v>2</v>
      </c>
      <c r="D4" s="1" t="s">
        <v>5</v>
      </c>
    </row>
    <row r="5" spans="1:4" ht="15.75" thickBot="1" x14ac:dyDescent="0.3">
      <c r="A5" s="41"/>
      <c r="B5" s="2" t="s">
        <v>3</v>
      </c>
      <c r="C5" s="2" t="s">
        <v>4</v>
      </c>
      <c r="D5" s="2" t="s">
        <v>137</v>
      </c>
    </row>
    <row r="6" spans="1:4" ht="15.75" thickTop="1" x14ac:dyDescent="0.25"/>
    <row r="7" spans="1:4" x14ac:dyDescent="0.25">
      <c r="A7" s="3" t="s">
        <v>6</v>
      </c>
    </row>
    <row r="9" spans="1:4" x14ac:dyDescent="0.25">
      <c r="A9" t="s">
        <v>7</v>
      </c>
    </row>
    <row r="10" spans="1:4" x14ac:dyDescent="0.25">
      <c r="A10" s="4" t="s">
        <v>64</v>
      </c>
      <c r="B10" s="7">
        <f>C10</f>
        <v>135</v>
      </c>
      <c r="C10" s="7">
        <v>135</v>
      </c>
      <c r="D10" s="5"/>
    </row>
    <row r="11" spans="1:4" x14ac:dyDescent="0.25">
      <c r="A11" s="4" t="s">
        <v>65</v>
      </c>
      <c r="B11" s="7">
        <f>C11</f>
        <v>350</v>
      </c>
      <c r="C11" s="7">
        <f>350</f>
        <v>350</v>
      </c>
      <c r="D11" s="5"/>
    </row>
    <row r="12" spans="1:4" x14ac:dyDescent="0.25">
      <c r="A12" s="4" t="s">
        <v>66</v>
      </c>
      <c r="B12" s="7">
        <f>C12</f>
        <v>162</v>
      </c>
      <c r="C12" s="7">
        <v>162</v>
      </c>
      <c r="D12" s="5"/>
    </row>
    <row r="13" spans="1:4" x14ac:dyDescent="0.25">
      <c r="A13" s="4" t="s">
        <v>11</v>
      </c>
      <c r="B13" s="7">
        <f>C13</f>
        <v>350</v>
      </c>
      <c r="C13" s="7">
        <f>350</f>
        <v>350</v>
      </c>
      <c r="D13" s="5"/>
    </row>
    <row r="14" spans="1:4" x14ac:dyDescent="0.25">
      <c r="B14" s="5"/>
      <c r="C14" s="5"/>
      <c r="D14" s="5"/>
    </row>
    <row r="15" spans="1:4" x14ac:dyDescent="0.25">
      <c r="A15" s="6" t="s">
        <v>12</v>
      </c>
      <c r="B15" s="5"/>
      <c r="C15" s="5"/>
      <c r="D15" s="5"/>
    </row>
    <row r="16" spans="1:4" x14ac:dyDescent="0.25">
      <c r="A16" s="4" t="s">
        <v>67</v>
      </c>
      <c r="B16" s="7">
        <f>SUM(C16:D16)</f>
        <v>447650091.98000002</v>
      </c>
      <c r="C16" s="9">
        <v>113400091.98</v>
      </c>
      <c r="D16" s="9">
        <v>334250000</v>
      </c>
    </row>
    <row r="17" spans="1:4" x14ac:dyDescent="0.25">
      <c r="A17" s="4" t="s">
        <v>68</v>
      </c>
      <c r="B17" s="7">
        <f>SUM(C17:D17)</f>
        <v>245903409</v>
      </c>
      <c r="C17" s="7">
        <v>193403409</v>
      </c>
      <c r="D17" s="7">
        <f>37500000+15000000</f>
        <v>52500000</v>
      </c>
    </row>
    <row r="18" spans="1:4" x14ac:dyDescent="0.25">
      <c r="A18" s="4" t="s">
        <v>69</v>
      </c>
      <c r="B18" s="7">
        <f>SUM(C18:D18)</f>
        <v>180267354.5</v>
      </c>
      <c r="C18" s="7">
        <v>180267354.5</v>
      </c>
      <c r="D18" s="7">
        <v>0</v>
      </c>
    </row>
    <row r="19" spans="1:4" x14ac:dyDescent="0.25">
      <c r="A19" s="4" t="s">
        <v>11</v>
      </c>
      <c r="B19" s="7">
        <v>983613636</v>
      </c>
      <c r="C19" s="7">
        <v>773613636</v>
      </c>
      <c r="D19" s="7">
        <f>150000000+60000000</f>
        <v>210000000</v>
      </c>
    </row>
    <row r="20" spans="1:4" x14ac:dyDescent="0.25">
      <c r="A20" s="4" t="s">
        <v>70</v>
      </c>
      <c r="B20" s="7">
        <f>C20</f>
        <v>180267354.5</v>
      </c>
      <c r="C20" s="7">
        <f>C18</f>
        <v>180267354.5</v>
      </c>
      <c r="D20" s="7"/>
    </row>
    <row r="21" spans="1:4" x14ac:dyDescent="0.25">
      <c r="B21" s="7"/>
      <c r="C21" s="7"/>
      <c r="D21" s="7"/>
    </row>
    <row r="22" spans="1:4" x14ac:dyDescent="0.25">
      <c r="A22" s="8" t="s">
        <v>17</v>
      </c>
      <c r="B22" s="9"/>
      <c r="C22" s="9"/>
      <c r="D22" s="9"/>
    </row>
    <row r="23" spans="1:4" x14ac:dyDescent="0.25">
      <c r="A23" s="10" t="s">
        <v>65</v>
      </c>
      <c r="B23" s="9">
        <f>B17</f>
        <v>245903409</v>
      </c>
      <c r="C23" s="9"/>
      <c r="D23" s="9"/>
    </row>
    <row r="24" spans="1:4" x14ac:dyDescent="0.25">
      <c r="A24" s="10" t="s">
        <v>66</v>
      </c>
      <c r="B24" s="9">
        <v>265668792.40000004</v>
      </c>
      <c r="C24" s="9"/>
      <c r="D24" s="9"/>
    </row>
    <row r="25" spans="1:4" x14ac:dyDescent="0.25">
      <c r="A25" s="11"/>
      <c r="B25" s="11"/>
      <c r="C25" s="11"/>
      <c r="D25" s="11"/>
    </row>
    <row r="26" spans="1:4" x14ac:dyDescent="0.25">
      <c r="A26" s="11" t="s">
        <v>18</v>
      </c>
      <c r="B26" s="11"/>
      <c r="C26" s="11"/>
      <c r="D26" s="11"/>
    </row>
    <row r="27" spans="1:4" x14ac:dyDescent="0.25">
      <c r="A27" s="10" t="s">
        <v>71</v>
      </c>
      <c r="B27" s="17">
        <v>1.3936338904333334</v>
      </c>
      <c r="C27" s="17">
        <v>1.3936338904333334</v>
      </c>
      <c r="D27" s="17">
        <v>1.3936338904333334</v>
      </c>
    </row>
    <row r="28" spans="1:4" x14ac:dyDescent="0.25">
      <c r="A28" s="10" t="s">
        <v>72</v>
      </c>
      <c r="B28" s="17">
        <v>1.4619442416999999</v>
      </c>
      <c r="C28" s="17">
        <v>1.4619442416999999</v>
      </c>
      <c r="D28" s="17">
        <v>1.4619442416999999</v>
      </c>
    </row>
    <row r="29" spans="1:4" x14ac:dyDescent="0.25">
      <c r="A29" s="10" t="s">
        <v>21</v>
      </c>
      <c r="B29" s="9">
        <v>642</v>
      </c>
      <c r="C29" s="9">
        <v>642</v>
      </c>
      <c r="D29" s="9">
        <v>642</v>
      </c>
    </row>
    <row r="30" spans="1:4" x14ac:dyDescent="0.25">
      <c r="A30" s="11"/>
      <c r="B30" s="11"/>
      <c r="C30" s="11"/>
      <c r="D30" s="11"/>
    </row>
    <row r="31" spans="1:4" x14ac:dyDescent="0.25">
      <c r="A31" s="12" t="s">
        <v>22</v>
      </c>
      <c r="B31" s="11"/>
      <c r="C31" s="11"/>
      <c r="D31" s="11"/>
    </row>
    <row r="32" spans="1:4" x14ac:dyDescent="0.25">
      <c r="A32" s="11" t="s">
        <v>73</v>
      </c>
      <c r="B32" s="9">
        <f>B16/B27</f>
        <v>321210681.69546932</v>
      </c>
      <c r="C32" s="9">
        <f>C16/C27</f>
        <v>81370073.416297033</v>
      </c>
      <c r="D32" s="9">
        <f>D16/D27</f>
        <v>239840608.27917227</v>
      </c>
    </row>
    <row r="33" spans="1:8" x14ac:dyDescent="0.25">
      <c r="A33" s="11" t="s">
        <v>74</v>
      </c>
      <c r="B33" s="9">
        <f>B18/B28</f>
        <v>123306586.77541547</v>
      </c>
      <c r="C33" s="9">
        <f>C18/C28</f>
        <v>123306586.77541547</v>
      </c>
      <c r="D33" s="9">
        <f>D18/D28</f>
        <v>0</v>
      </c>
    </row>
    <row r="34" spans="1:8" x14ac:dyDescent="0.25">
      <c r="A34" s="11" t="s">
        <v>75</v>
      </c>
      <c r="B34" s="9">
        <f>B32/B10</f>
        <v>2379338.3829294024</v>
      </c>
      <c r="C34" s="9">
        <f t="shared" ref="C34" si="0">C32/C10</f>
        <v>602741.28456516319</v>
      </c>
      <c r="D34" s="9"/>
    </row>
    <row r="35" spans="1:8" x14ac:dyDescent="0.25">
      <c r="A35" s="11" t="s">
        <v>76</v>
      </c>
      <c r="B35" s="9">
        <f>B33/B12</f>
        <v>761151.77021861402</v>
      </c>
      <c r="C35" s="9">
        <f>C33/C12</f>
        <v>761151.77021861402</v>
      </c>
      <c r="D35" s="9"/>
    </row>
    <row r="37" spans="1:8" x14ac:dyDescent="0.25">
      <c r="A37" s="3" t="s">
        <v>27</v>
      </c>
    </row>
    <row r="39" spans="1:8" x14ac:dyDescent="0.25">
      <c r="A39" t="s">
        <v>28</v>
      </c>
    </row>
    <row r="40" spans="1:8" x14ac:dyDescent="0.25">
      <c r="A40" t="s">
        <v>29</v>
      </c>
      <c r="B40" s="15">
        <f>(B11*100)/(B29)</f>
        <v>54.517133956386296</v>
      </c>
      <c r="C40" s="15">
        <f>(C11*100)/(C29)</f>
        <v>54.517133956386296</v>
      </c>
      <c r="D40" s="13"/>
      <c r="E40" s="11"/>
      <c r="F40" s="11"/>
      <c r="G40" s="11"/>
      <c r="H40" s="11"/>
    </row>
    <row r="41" spans="1:8" x14ac:dyDescent="0.25">
      <c r="A41" t="s">
        <v>30</v>
      </c>
      <c r="B41" s="15">
        <f>(B12*100)/(B29)</f>
        <v>25.233644859813083</v>
      </c>
      <c r="C41" s="15">
        <f>(C12*100)/(C29)</f>
        <v>25.233644859813083</v>
      </c>
      <c r="D41" s="13"/>
    </row>
    <row r="43" spans="1:8" x14ac:dyDescent="0.25">
      <c r="A43" t="s">
        <v>31</v>
      </c>
    </row>
    <row r="44" spans="1:8" x14ac:dyDescent="0.25">
      <c r="A44" t="s">
        <v>32</v>
      </c>
      <c r="B44" s="14">
        <f>B12/B11*100</f>
        <v>46.285714285714285</v>
      </c>
      <c r="C44" s="14">
        <f>C12/C11*100</f>
        <v>46.285714285714285</v>
      </c>
      <c r="D44" s="14"/>
    </row>
    <row r="45" spans="1:8" x14ac:dyDescent="0.25">
      <c r="A45" t="s">
        <v>33</v>
      </c>
      <c r="B45" s="14">
        <f>B18/B17*100</f>
        <v>73.308196593565739</v>
      </c>
      <c r="C45" s="14">
        <f>C18/C17*100</f>
        <v>93.207950900182951</v>
      </c>
      <c r="D45" s="14">
        <f>D18/D17*100</f>
        <v>0</v>
      </c>
    </row>
    <row r="46" spans="1:8" x14ac:dyDescent="0.25">
      <c r="A46" s="11" t="s">
        <v>34</v>
      </c>
      <c r="B46" s="13">
        <f>AVERAGE(B44:B45)</f>
        <v>59.796955439640016</v>
      </c>
      <c r="C46" s="13">
        <f>AVERAGE(C44:C45)</f>
        <v>69.746832592948621</v>
      </c>
      <c r="D46" s="13"/>
    </row>
    <row r="47" spans="1:8" x14ac:dyDescent="0.25">
      <c r="A47" s="11"/>
      <c r="B47" s="13"/>
      <c r="C47" s="13"/>
      <c r="D47" s="13"/>
    </row>
    <row r="48" spans="1:8" x14ac:dyDescent="0.25">
      <c r="A48" s="11" t="s">
        <v>35</v>
      </c>
      <c r="B48" s="11"/>
      <c r="C48" s="11"/>
      <c r="D48" s="11"/>
    </row>
    <row r="49" spans="1:4" x14ac:dyDescent="0.25">
      <c r="A49" s="11" t="s">
        <v>36</v>
      </c>
      <c r="B49" s="13">
        <f>B12/(B13*4)*100</f>
        <v>11.571428571428571</v>
      </c>
      <c r="C49" s="13">
        <f>C12/(C13*4)*100</f>
        <v>11.571428571428571</v>
      </c>
      <c r="D49" s="13"/>
    </row>
    <row r="50" spans="1:4" x14ac:dyDescent="0.25">
      <c r="A50" s="11" t="s">
        <v>37</v>
      </c>
      <c r="B50" s="13">
        <f>B18/B19*100</f>
        <v>18.327049148391435</v>
      </c>
      <c r="C50" s="13">
        <f>C18/C19*100</f>
        <v>23.301987725045738</v>
      </c>
      <c r="D50" s="13">
        <f>D18/D19*100</f>
        <v>0</v>
      </c>
    </row>
    <row r="51" spans="1:4" x14ac:dyDescent="0.25">
      <c r="A51" s="11" t="s">
        <v>38</v>
      </c>
      <c r="B51" s="13">
        <f>(B49+B50)/2</f>
        <v>14.949238859910004</v>
      </c>
      <c r="C51" s="13">
        <f>(C49+C50)/2</f>
        <v>17.436708148237155</v>
      </c>
      <c r="D51" s="13"/>
    </row>
    <row r="52" spans="1:4" x14ac:dyDescent="0.25">
      <c r="A52" s="11"/>
      <c r="B52" s="11"/>
      <c r="C52" s="11"/>
      <c r="D52" s="11"/>
    </row>
    <row r="53" spans="1:4" x14ac:dyDescent="0.25">
      <c r="A53" s="11" t="s">
        <v>129</v>
      </c>
      <c r="B53" s="11"/>
      <c r="C53" s="11"/>
      <c r="D53" s="11"/>
    </row>
    <row r="54" spans="1:4" x14ac:dyDescent="0.25">
      <c r="A54" s="11" t="s">
        <v>39</v>
      </c>
      <c r="B54" s="15">
        <f>(B20/B18*100)</f>
        <v>100</v>
      </c>
      <c r="C54" s="13"/>
      <c r="D54" s="13"/>
    </row>
    <row r="55" spans="1:4" x14ac:dyDescent="0.25">
      <c r="A55" s="11"/>
      <c r="B55" s="11"/>
      <c r="C55" s="11"/>
      <c r="D55" s="11"/>
    </row>
    <row r="56" spans="1:4" x14ac:dyDescent="0.25">
      <c r="A56" s="11" t="s">
        <v>40</v>
      </c>
      <c r="B56" s="11"/>
      <c r="C56" s="11"/>
      <c r="D56" s="11"/>
    </row>
    <row r="57" spans="1:4" x14ac:dyDescent="0.25">
      <c r="A57" s="11" t="s">
        <v>41</v>
      </c>
      <c r="B57" s="14">
        <f>((B12/B10)-1)*100</f>
        <v>19.999999999999996</v>
      </c>
      <c r="C57" s="14"/>
      <c r="D57" s="13"/>
    </row>
    <row r="58" spans="1:4" x14ac:dyDescent="0.25">
      <c r="A58" s="11" t="s">
        <v>42</v>
      </c>
      <c r="B58" s="14">
        <f>((B33/B32)-1)*100</f>
        <v>-61.611928306817973</v>
      </c>
      <c r="C58" s="14">
        <f>((C33/C32)-1)*100</f>
        <v>51.538006048694626</v>
      </c>
      <c r="D58" s="14">
        <f>((D33/D32)-1)*100</f>
        <v>-100</v>
      </c>
    </row>
    <row r="59" spans="1:4" x14ac:dyDescent="0.25">
      <c r="A59" s="11" t="s">
        <v>43</v>
      </c>
      <c r="B59" s="14">
        <f>((B35/B34)-1)*100</f>
        <v>-68.009940255681641</v>
      </c>
      <c r="C59" s="14">
        <f>((C35/C34)-1)*100</f>
        <v>26.281671707245536</v>
      </c>
      <c r="D59" s="13"/>
    </row>
    <row r="60" spans="1:4" x14ac:dyDescent="0.25">
      <c r="A60" s="11"/>
      <c r="B60" s="13"/>
      <c r="C60" s="13"/>
      <c r="D60" s="13"/>
    </row>
    <row r="61" spans="1:4" x14ac:dyDescent="0.25">
      <c r="A61" s="11" t="s">
        <v>44</v>
      </c>
      <c r="B61" s="11"/>
      <c r="C61" s="11"/>
      <c r="D61" s="11"/>
    </row>
    <row r="62" spans="1:4" x14ac:dyDescent="0.25">
      <c r="A62" t="s">
        <v>133</v>
      </c>
      <c r="B62" s="9">
        <f>B17/(B11*3)</f>
        <v>234193.72285714286</v>
      </c>
      <c r="C62" s="9">
        <f>C17/(C11*3)</f>
        <v>184193.72285714286</v>
      </c>
      <c r="D62" s="9"/>
    </row>
    <row r="63" spans="1:4" x14ac:dyDescent="0.25">
      <c r="A63" t="s">
        <v>134</v>
      </c>
      <c r="B63" s="9">
        <f>B18/(B12*3)</f>
        <v>370920.48251028807</v>
      </c>
      <c r="C63" s="9">
        <f>C18/(C12*3)</f>
        <v>370920.48251028807</v>
      </c>
      <c r="D63" s="9"/>
    </row>
    <row r="64" spans="1:4" x14ac:dyDescent="0.25">
      <c r="A64" s="11" t="s">
        <v>45</v>
      </c>
      <c r="B64" s="9">
        <f>(B62/B63)*B46</f>
        <v>37.75491586540668</v>
      </c>
      <c r="C64" s="9">
        <f>(C62/C63)*C46</f>
        <v>34.635263779030552</v>
      </c>
      <c r="D64" s="13"/>
    </row>
    <row r="65" spans="1:4" x14ac:dyDescent="0.25">
      <c r="A65" s="13" t="s">
        <v>135</v>
      </c>
      <c r="B65" s="9">
        <f>B17/B11</f>
        <v>702581.16857142863</v>
      </c>
      <c r="C65" s="9">
        <f>C17/C11</f>
        <v>552581.16857142863</v>
      </c>
      <c r="D65" s="13"/>
    </row>
    <row r="66" spans="1:4" x14ac:dyDescent="0.25">
      <c r="A66" s="13" t="s">
        <v>136</v>
      </c>
      <c r="B66" s="9">
        <f>B18/B12</f>
        <v>1112761.4475308643</v>
      </c>
      <c r="C66" s="9">
        <f>C18/C12</f>
        <v>1112761.4475308643</v>
      </c>
      <c r="D66" s="13"/>
    </row>
    <row r="67" spans="1:4" x14ac:dyDescent="0.25">
      <c r="B67" s="9"/>
      <c r="C67" s="9"/>
      <c r="D67" s="14"/>
    </row>
    <row r="68" spans="1:4" x14ac:dyDescent="0.25">
      <c r="A68" t="s">
        <v>46</v>
      </c>
      <c r="B68" s="14"/>
      <c r="C68" s="14"/>
      <c r="D68" s="14"/>
    </row>
    <row r="69" spans="1:4" x14ac:dyDescent="0.25">
      <c r="A69" s="11" t="s">
        <v>47</v>
      </c>
      <c r="B69" s="13">
        <f>(B24/B23)*100</f>
        <v>108.03786473736932</v>
      </c>
      <c r="C69" s="13"/>
      <c r="D69" s="13"/>
    </row>
    <row r="70" spans="1:4" x14ac:dyDescent="0.25">
      <c r="A70" s="11" t="s">
        <v>48</v>
      </c>
      <c r="B70" s="13">
        <f>(B18/B24)*100</f>
        <v>67.854170176142972</v>
      </c>
      <c r="C70" s="13"/>
      <c r="D70" s="13"/>
    </row>
    <row r="71" spans="1:4" ht="15.75" thickBot="1" x14ac:dyDescent="0.3">
      <c r="A71" s="16"/>
      <c r="B71" s="16"/>
      <c r="C71" s="16"/>
      <c r="D71" s="16"/>
    </row>
    <row r="72" spans="1:4" ht="15.75" thickTop="1" x14ac:dyDescent="0.25"/>
    <row r="73" spans="1:4" x14ac:dyDescent="0.25">
      <c r="A73" t="s">
        <v>49</v>
      </c>
    </row>
    <row r="74" spans="1:4" x14ac:dyDescent="0.25">
      <c r="A74" t="s">
        <v>139</v>
      </c>
    </row>
    <row r="75" spans="1:4" x14ac:dyDescent="0.25">
      <c r="A75" t="s">
        <v>50</v>
      </c>
      <c r="B75" s="5"/>
      <c r="C75" s="5"/>
      <c r="D75" s="5"/>
    </row>
    <row r="76" spans="1:4" x14ac:dyDescent="0.25">
      <c r="A76" t="s">
        <v>138</v>
      </c>
    </row>
    <row r="78" spans="1:4" x14ac:dyDescent="0.25">
      <c r="A78" t="s">
        <v>130</v>
      </c>
    </row>
    <row r="79" spans="1:4" x14ac:dyDescent="0.25">
      <c r="A79" s="20" t="s">
        <v>140</v>
      </c>
    </row>
    <row r="80" spans="1:4" x14ac:dyDescent="0.25">
      <c r="A80" s="21" t="s">
        <v>131</v>
      </c>
    </row>
    <row r="81" spans="1:1" x14ac:dyDescent="0.25">
      <c r="A81" s="21" t="s">
        <v>132</v>
      </c>
    </row>
    <row r="82" spans="1:1" x14ac:dyDescent="0.25">
      <c r="A82" s="21" t="s">
        <v>142</v>
      </c>
    </row>
  </sheetData>
  <mergeCells count="2">
    <mergeCell ref="A2:D2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88" workbookViewId="0">
      <selection activeCell="B18" sqref="B18"/>
    </sheetView>
  </sheetViews>
  <sheetFormatPr baseColWidth="10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4" ht="15.75" x14ac:dyDescent="0.25">
      <c r="A2" s="39" t="s">
        <v>146</v>
      </c>
      <c r="B2" s="39"/>
      <c r="C2" s="39"/>
      <c r="D2" s="39"/>
    </row>
    <row r="4" spans="1:4" x14ac:dyDescent="0.25">
      <c r="A4" s="40" t="s">
        <v>0</v>
      </c>
      <c r="B4" s="1" t="s">
        <v>1</v>
      </c>
      <c r="C4" s="18" t="s">
        <v>2</v>
      </c>
      <c r="D4" s="1" t="s">
        <v>5</v>
      </c>
    </row>
    <row r="5" spans="1:4" ht="15.75" thickBot="1" x14ac:dyDescent="0.3">
      <c r="A5" s="41"/>
      <c r="B5" s="2" t="s">
        <v>3</v>
      </c>
      <c r="C5" s="2" t="s">
        <v>4</v>
      </c>
      <c r="D5" s="2" t="s">
        <v>137</v>
      </c>
    </row>
    <row r="6" spans="1:4" ht="15.75" thickTop="1" x14ac:dyDescent="0.25"/>
    <row r="7" spans="1:4" x14ac:dyDescent="0.25">
      <c r="A7" s="3" t="s">
        <v>6</v>
      </c>
    </row>
    <row r="9" spans="1:4" x14ac:dyDescent="0.25">
      <c r="A9" t="s">
        <v>7</v>
      </c>
    </row>
    <row r="10" spans="1:4" x14ac:dyDescent="0.25">
      <c r="A10" s="4" t="s">
        <v>8</v>
      </c>
      <c r="B10" s="7">
        <f>C10</f>
        <v>151</v>
      </c>
      <c r="C10" s="7">
        <v>151</v>
      </c>
      <c r="D10" s="5"/>
    </row>
    <row r="11" spans="1:4" x14ac:dyDescent="0.25">
      <c r="A11" s="4" t="s">
        <v>9</v>
      </c>
      <c r="B11" s="7">
        <f>C11</f>
        <v>350</v>
      </c>
      <c r="C11" s="7">
        <f>350</f>
        <v>350</v>
      </c>
      <c r="D11" s="5"/>
    </row>
    <row r="12" spans="1:4" x14ac:dyDescent="0.25">
      <c r="A12" s="4" t="s">
        <v>10</v>
      </c>
      <c r="B12" s="7">
        <f>C12</f>
        <v>207</v>
      </c>
      <c r="C12" s="7">
        <v>207</v>
      </c>
      <c r="D12" s="5"/>
    </row>
    <row r="13" spans="1:4" x14ac:dyDescent="0.25">
      <c r="A13" s="4" t="s">
        <v>11</v>
      </c>
      <c r="B13" s="7">
        <f>C13</f>
        <v>350</v>
      </c>
      <c r="C13" s="7">
        <v>350</v>
      </c>
      <c r="D13" s="5"/>
    </row>
    <row r="14" spans="1:4" x14ac:dyDescent="0.25">
      <c r="B14" s="5"/>
      <c r="C14" s="5"/>
      <c r="D14" s="5"/>
    </row>
    <row r="15" spans="1:4" x14ac:dyDescent="0.25">
      <c r="A15" s="6" t="s">
        <v>12</v>
      </c>
      <c r="B15" s="5"/>
      <c r="C15" s="5"/>
      <c r="D15" s="5"/>
    </row>
    <row r="16" spans="1:4" x14ac:dyDescent="0.25">
      <c r="A16" s="4" t="s">
        <v>13</v>
      </c>
      <c r="B16" s="7">
        <f>SUM(C16:D16)</f>
        <v>522181491.30000001</v>
      </c>
      <c r="C16" s="9">
        <v>187931491.30000001</v>
      </c>
      <c r="D16" s="9">
        <v>334250000</v>
      </c>
    </row>
    <row r="17" spans="1:4" x14ac:dyDescent="0.25">
      <c r="A17" s="4" t="s">
        <v>14</v>
      </c>
      <c r="B17" s="7">
        <f>SUM(C17:D17)</f>
        <v>245903409</v>
      </c>
      <c r="C17" s="7">
        <v>193403409</v>
      </c>
      <c r="D17" s="7">
        <f>37500000+15000000</f>
        <v>52500000</v>
      </c>
    </row>
    <row r="18" spans="1:4" x14ac:dyDescent="0.25">
      <c r="A18" s="4" t="s">
        <v>15</v>
      </c>
      <c r="B18" s="7">
        <f>SUM(C18:D18)</f>
        <v>238291471</v>
      </c>
      <c r="C18" s="7">
        <v>231311471</v>
      </c>
      <c r="D18" s="7">
        <v>6980000</v>
      </c>
    </row>
    <row r="19" spans="1:4" x14ac:dyDescent="0.25">
      <c r="A19" s="4" t="s">
        <v>11</v>
      </c>
      <c r="B19" s="7">
        <v>983613636</v>
      </c>
      <c r="C19" s="7">
        <v>773613636</v>
      </c>
      <c r="D19" s="7">
        <f>150000000+60000000</f>
        <v>210000000</v>
      </c>
    </row>
    <row r="20" spans="1:4" x14ac:dyDescent="0.25">
      <c r="A20" s="4" t="s">
        <v>16</v>
      </c>
      <c r="B20" s="7">
        <f>C20</f>
        <v>231311471</v>
      </c>
      <c r="C20" s="7">
        <f>C18</f>
        <v>231311471</v>
      </c>
      <c r="D20" s="7"/>
    </row>
    <row r="21" spans="1:4" x14ac:dyDescent="0.25">
      <c r="B21" s="7"/>
      <c r="C21" s="7"/>
      <c r="D21" s="7"/>
    </row>
    <row r="22" spans="1:4" x14ac:dyDescent="0.25">
      <c r="A22" s="8" t="s">
        <v>17</v>
      </c>
      <c r="B22" s="9"/>
      <c r="C22" s="9"/>
      <c r="D22" s="9"/>
    </row>
    <row r="23" spans="1:4" x14ac:dyDescent="0.25">
      <c r="A23" s="10" t="s">
        <v>9</v>
      </c>
      <c r="B23" s="9">
        <f>B17</f>
        <v>245903409</v>
      </c>
      <c r="C23" s="9"/>
      <c r="D23" s="9"/>
    </row>
    <row r="24" spans="1:4" x14ac:dyDescent="0.25">
      <c r="A24" s="10" t="s">
        <v>10</v>
      </c>
      <c r="B24" s="9">
        <v>247880594.27000001</v>
      </c>
      <c r="C24" s="9"/>
      <c r="D24" s="9"/>
    </row>
    <row r="25" spans="1:4" x14ac:dyDescent="0.25">
      <c r="A25" s="11"/>
      <c r="B25" s="11"/>
      <c r="C25" s="11"/>
      <c r="D25" s="11"/>
    </row>
    <row r="26" spans="1:4" x14ac:dyDescent="0.25">
      <c r="A26" s="11" t="s">
        <v>18</v>
      </c>
      <c r="B26" s="11"/>
      <c r="C26" s="11"/>
      <c r="D26" s="11"/>
    </row>
    <row r="27" spans="1:4" x14ac:dyDescent="0.25">
      <c r="A27" s="10" t="s">
        <v>19</v>
      </c>
      <c r="B27" s="17">
        <v>1.4042433660666667</v>
      </c>
      <c r="C27" s="17">
        <v>1.4042433660666667</v>
      </c>
      <c r="D27" s="17">
        <v>1.4042433660666667</v>
      </c>
    </row>
    <row r="28" spans="1:4" x14ac:dyDescent="0.25">
      <c r="A28" s="10" t="s">
        <v>20</v>
      </c>
      <c r="B28" s="17">
        <v>1.4773597119666666</v>
      </c>
      <c r="C28" s="17">
        <v>1.4773597119666666</v>
      </c>
      <c r="D28" s="17">
        <v>1.4773597119666666</v>
      </c>
    </row>
    <row r="29" spans="1:4" x14ac:dyDescent="0.25">
      <c r="A29" s="10" t="s">
        <v>21</v>
      </c>
      <c r="B29" s="9">
        <v>642</v>
      </c>
      <c r="C29" s="9">
        <v>642</v>
      </c>
      <c r="D29" s="9">
        <v>642</v>
      </c>
    </row>
    <row r="30" spans="1:4" x14ac:dyDescent="0.25">
      <c r="A30" s="11"/>
      <c r="B30" s="11"/>
      <c r="C30" s="11"/>
      <c r="D30" s="11"/>
    </row>
    <row r="31" spans="1:4" x14ac:dyDescent="0.25">
      <c r="A31" s="12" t="s">
        <v>22</v>
      </c>
      <c r="B31" s="11"/>
      <c r="C31" s="11"/>
      <c r="D31" s="11"/>
    </row>
    <row r="32" spans="1:4" x14ac:dyDescent="0.25">
      <c r="A32" s="11" t="s">
        <v>23</v>
      </c>
      <c r="B32" s="9">
        <f>B16/B27</f>
        <v>371859681.8175813</v>
      </c>
      <c r="C32" s="9">
        <f>C16/C27</f>
        <v>133831140.55678433</v>
      </c>
      <c r="D32" s="9">
        <f>D16/D27</f>
        <v>238028541.26079696</v>
      </c>
    </row>
    <row r="33" spans="1:8" x14ac:dyDescent="0.25">
      <c r="A33" s="11" t="s">
        <v>24</v>
      </c>
      <c r="B33" s="9">
        <f>B18/B28</f>
        <v>161295498.36091411</v>
      </c>
      <c r="C33" s="9">
        <f>C18/C28</f>
        <v>156570853.48027891</v>
      </c>
      <c r="D33" s="9">
        <f>D18/D28</f>
        <v>4724644.8806351963</v>
      </c>
    </row>
    <row r="34" spans="1:8" x14ac:dyDescent="0.25">
      <c r="A34" s="11" t="s">
        <v>25</v>
      </c>
      <c r="B34" s="9">
        <f>B32/B10</f>
        <v>2462646.8994541806</v>
      </c>
      <c r="C34" s="9">
        <f t="shared" ref="C34" si="0">C32/C10</f>
        <v>886298.94408466446</v>
      </c>
      <c r="D34" s="9"/>
    </row>
    <row r="35" spans="1:8" x14ac:dyDescent="0.25">
      <c r="A35" s="11" t="s">
        <v>26</v>
      </c>
      <c r="B35" s="9">
        <f>B33/B12</f>
        <v>779205.30609137251</v>
      </c>
      <c r="C35" s="9">
        <f>C33/C12</f>
        <v>756380.93468733772</v>
      </c>
      <c r="D35" s="9"/>
    </row>
    <row r="37" spans="1:8" x14ac:dyDescent="0.25">
      <c r="A37" s="3" t="s">
        <v>27</v>
      </c>
    </row>
    <row r="39" spans="1:8" x14ac:dyDescent="0.25">
      <c r="A39" t="s">
        <v>28</v>
      </c>
    </row>
    <row r="40" spans="1:8" x14ac:dyDescent="0.25">
      <c r="A40" t="s">
        <v>29</v>
      </c>
      <c r="B40" s="15">
        <f>(B11*100)/(B29)</f>
        <v>54.517133956386296</v>
      </c>
      <c r="C40" s="15">
        <f>(C11*100)/(C29)</f>
        <v>54.517133956386296</v>
      </c>
      <c r="D40" s="13"/>
      <c r="E40" s="11"/>
      <c r="F40" s="11"/>
      <c r="G40" s="11"/>
      <c r="H40" s="11"/>
    </row>
    <row r="41" spans="1:8" x14ac:dyDescent="0.25">
      <c r="A41" t="s">
        <v>30</v>
      </c>
      <c r="B41" s="15">
        <f>(B12*100)/(B29)</f>
        <v>32.242990654205606</v>
      </c>
      <c r="C41" s="15">
        <f>(C12*100)/(C29)</f>
        <v>32.242990654205606</v>
      </c>
      <c r="D41" s="13"/>
    </row>
    <row r="43" spans="1:8" x14ac:dyDescent="0.25">
      <c r="A43" t="s">
        <v>31</v>
      </c>
    </row>
    <row r="44" spans="1:8" x14ac:dyDescent="0.25">
      <c r="A44" t="s">
        <v>32</v>
      </c>
      <c r="B44" s="14">
        <f>B12/B11*100</f>
        <v>59.142857142857139</v>
      </c>
      <c r="C44" s="14">
        <f>C12/C11*100</f>
        <v>59.142857142857139</v>
      </c>
      <c r="D44" s="14"/>
    </row>
    <row r="45" spans="1:8" x14ac:dyDescent="0.25">
      <c r="A45" t="s">
        <v>33</v>
      </c>
      <c r="B45" s="14">
        <f>B18/B17*100</f>
        <v>96.904500823736043</v>
      </c>
      <c r="C45" s="14">
        <f>C18/C17*100</f>
        <v>119.60051386684709</v>
      </c>
      <c r="D45" s="14">
        <f>D18/D17*100</f>
        <v>13.295238095238096</v>
      </c>
    </row>
    <row r="46" spans="1:8" x14ac:dyDescent="0.25">
      <c r="A46" s="11" t="s">
        <v>34</v>
      </c>
      <c r="B46" s="13">
        <f>AVERAGE(B44:B45)</f>
        <v>78.023678983296591</v>
      </c>
      <c r="C46" s="13">
        <f>AVERAGE(C44:C45)</f>
        <v>89.37168550485211</v>
      </c>
      <c r="D46" s="13"/>
    </row>
    <row r="47" spans="1:8" x14ac:dyDescent="0.25">
      <c r="A47" s="11"/>
      <c r="B47" s="13"/>
      <c r="C47" s="13"/>
      <c r="D47" s="13"/>
    </row>
    <row r="48" spans="1:8" x14ac:dyDescent="0.25">
      <c r="A48" s="11" t="s">
        <v>35</v>
      </c>
      <c r="B48" s="11"/>
      <c r="C48" s="11"/>
      <c r="D48" s="11"/>
    </row>
    <row r="49" spans="1:4" x14ac:dyDescent="0.25">
      <c r="A49" s="11" t="s">
        <v>36</v>
      </c>
      <c r="B49" s="13">
        <f>B12/(B13*4)*100</f>
        <v>14.785714285714285</v>
      </c>
      <c r="C49" s="13">
        <f>C12/(C13*4)*100</f>
        <v>14.785714285714285</v>
      </c>
      <c r="D49" s="13"/>
    </row>
    <row r="50" spans="1:4" x14ac:dyDescent="0.25">
      <c r="A50" s="11" t="s">
        <v>37</v>
      </c>
      <c r="B50" s="13">
        <f>B18/B19*100</f>
        <v>24.226125205934011</v>
      </c>
      <c r="C50" s="13">
        <f>C18/C19*100</f>
        <v>29.900128466711774</v>
      </c>
      <c r="D50" s="13">
        <f>D18/D19*100</f>
        <v>3.323809523809524</v>
      </c>
    </row>
    <row r="51" spans="1:4" x14ac:dyDescent="0.25">
      <c r="A51" s="11" t="s">
        <v>38</v>
      </c>
      <c r="B51" s="13">
        <f>(B49+B50)/2</f>
        <v>19.505919745824148</v>
      </c>
      <c r="C51" s="13">
        <f>(C49+C50)/2</f>
        <v>22.342921376213027</v>
      </c>
      <c r="D51" s="13"/>
    </row>
    <row r="52" spans="1:4" x14ac:dyDescent="0.25">
      <c r="A52" s="11"/>
      <c r="B52" s="11"/>
      <c r="C52" s="11"/>
      <c r="D52" s="11"/>
    </row>
    <row r="53" spans="1:4" x14ac:dyDescent="0.25">
      <c r="A53" s="11" t="s">
        <v>129</v>
      </c>
      <c r="B53" s="11"/>
      <c r="C53" s="11"/>
      <c r="D53" s="11"/>
    </row>
    <row r="54" spans="1:4" x14ac:dyDescent="0.25">
      <c r="A54" s="11" t="s">
        <v>39</v>
      </c>
      <c r="B54" s="15">
        <f>(B20/B18)*100</f>
        <v>97.070814171103919</v>
      </c>
      <c r="C54" s="13"/>
      <c r="D54" s="13"/>
    </row>
    <row r="55" spans="1:4" x14ac:dyDescent="0.25">
      <c r="A55" s="11"/>
      <c r="B55" s="11"/>
      <c r="C55" s="11"/>
      <c r="D55" s="11"/>
    </row>
    <row r="56" spans="1:4" x14ac:dyDescent="0.25">
      <c r="A56" s="11" t="s">
        <v>40</v>
      </c>
      <c r="B56" s="11"/>
      <c r="C56" s="11"/>
      <c r="D56" s="11"/>
    </row>
    <row r="57" spans="1:4" x14ac:dyDescent="0.25">
      <c r="A57" s="11" t="s">
        <v>41</v>
      </c>
      <c r="B57" s="14">
        <f>((B12/B10)-1)*100</f>
        <v>37.086092715231779</v>
      </c>
      <c r="C57" s="14"/>
      <c r="D57" s="13"/>
    </row>
    <row r="58" spans="1:4" x14ac:dyDescent="0.25">
      <c r="A58" s="11" t="s">
        <v>42</v>
      </c>
      <c r="B58" s="14">
        <f>((B33/B32)-1)*100</f>
        <v>-56.624633901548137</v>
      </c>
      <c r="C58" s="14">
        <f>((C33/C32)-1)*100</f>
        <v>16.991346579644627</v>
      </c>
      <c r="D58" s="14">
        <f>((D33/D32)-1)*100</f>
        <v>-98.0150931247112</v>
      </c>
    </row>
    <row r="59" spans="1:4" x14ac:dyDescent="0.25">
      <c r="A59" s="11" t="s">
        <v>43</v>
      </c>
      <c r="B59" s="14">
        <f>((B35/B34)-1)*100</f>
        <v>-68.359032459583418</v>
      </c>
      <c r="C59" s="14">
        <f>((C35/C34)-1)*100</f>
        <v>-14.658486311466955</v>
      </c>
      <c r="D59" s="13"/>
    </row>
    <row r="60" spans="1:4" x14ac:dyDescent="0.25">
      <c r="A60" s="11"/>
      <c r="B60" s="13"/>
      <c r="C60" s="13"/>
      <c r="D60" s="13"/>
    </row>
    <row r="61" spans="1:4" x14ac:dyDescent="0.25">
      <c r="A61" s="11" t="s">
        <v>44</v>
      </c>
      <c r="B61" s="11"/>
      <c r="C61" s="11"/>
      <c r="D61" s="11"/>
    </row>
    <row r="62" spans="1:4" x14ac:dyDescent="0.25">
      <c r="A62" t="s">
        <v>133</v>
      </c>
      <c r="B62" s="9">
        <f>B17/(B11*3)</f>
        <v>234193.72285714286</v>
      </c>
      <c r="C62" s="9">
        <f>C17/(C11*3)</f>
        <v>184193.72285714286</v>
      </c>
      <c r="D62" s="9"/>
    </row>
    <row r="63" spans="1:4" x14ac:dyDescent="0.25">
      <c r="A63" t="s">
        <v>134</v>
      </c>
      <c r="B63" s="9">
        <f>B18/(B12*3)</f>
        <v>383722.17552334943</v>
      </c>
      <c r="C63" s="9">
        <f>C18/(C12*3)</f>
        <v>372482.23993558774</v>
      </c>
      <c r="D63" s="9"/>
    </row>
    <row r="64" spans="1:4" x14ac:dyDescent="0.25">
      <c r="A64" s="11" t="s">
        <v>45</v>
      </c>
      <c r="B64" s="9">
        <f>(B62/B63)*B46</f>
        <v>47.61949404458371</v>
      </c>
      <c r="C64" s="9">
        <f>(C62/C63)*C46</f>
        <v>44.194599651256219</v>
      </c>
      <c r="D64" s="13"/>
    </row>
    <row r="65" spans="1:4" x14ac:dyDescent="0.25">
      <c r="A65" s="13" t="s">
        <v>135</v>
      </c>
      <c r="B65" s="9">
        <f>B17/B11</f>
        <v>702581.16857142863</v>
      </c>
      <c r="C65" s="9">
        <f>C17/C11</f>
        <v>552581.16857142863</v>
      </c>
      <c r="D65" s="13"/>
    </row>
    <row r="66" spans="1:4" x14ac:dyDescent="0.25">
      <c r="A66" s="13" t="s">
        <v>136</v>
      </c>
      <c r="B66" s="9">
        <f>B18/B12</f>
        <v>1151166.5265700484</v>
      </c>
      <c r="C66" s="9">
        <f>C18/C12</f>
        <v>1117446.7198067633</v>
      </c>
      <c r="D66" s="13"/>
    </row>
    <row r="67" spans="1:4" x14ac:dyDescent="0.25">
      <c r="B67" s="9"/>
      <c r="C67" s="9"/>
      <c r="D67" s="14"/>
    </row>
    <row r="68" spans="1:4" x14ac:dyDescent="0.25">
      <c r="A68" t="s">
        <v>46</v>
      </c>
      <c r="B68" s="14"/>
      <c r="C68" s="14"/>
      <c r="D68" s="14"/>
    </row>
    <row r="69" spans="1:4" x14ac:dyDescent="0.25">
      <c r="A69" s="11" t="s">
        <v>47</v>
      </c>
      <c r="B69" s="13">
        <f>(B24/B23)*100</f>
        <v>100.8040495567103</v>
      </c>
      <c r="C69" s="13"/>
      <c r="D69" s="13"/>
    </row>
    <row r="70" spans="1:4" x14ac:dyDescent="0.25">
      <c r="A70" s="11" t="s">
        <v>48</v>
      </c>
      <c r="B70" s="13">
        <f>(B18/B24)*100</f>
        <v>96.131555478056015</v>
      </c>
      <c r="C70" s="13"/>
      <c r="D70" s="13"/>
    </row>
    <row r="71" spans="1:4" ht="15.75" thickBot="1" x14ac:dyDescent="0.3">
      <c r="A71" s="16"/>
      <c r="B71" s="16"/>
      <c r="C71" s="16"/>
      <c r="D71" s="16"/>
    </row>
    <row r="72" spans="1:4" ht="15.75" thickTop="1" x14ac:dyDescent="0.25"/>
    <row r="73" spans="1:4" x14ac:dyDescent="0.25">
      <c r="A73" t="s">
        <v>49</v>
      </c>
    </row>
    <row r="74" spans="1:4" x14ac:dyDescent="0.25">
      <c r="A74" t="s">
        <v>139</v>
      </c>
    </row>
    <row r="75" spans="1:4" x14ac:dyDescent="0.25">
      <c r="A75" t="s">
        <v>50</v>
      </c>
      <c r="B75" s="5"/>
      <c r="C75" s="5"/>
      <c r="D75" s="5"/>
    </row>
    <row r="76" spans="1:4" x14ac:dyDescent="0.25">
      <c r="A76" t="s">
        <v>138</v>
      </c>
    </row>
    <row r="78" spans="1:4" x14ac:dyDescent="0.25">
      <c r="A78" t="s">
        <v>130</v>
      </c>
    </row>
    <row r="79" spans="1:4" x14ac:dyDescent="0.25">
      <c r="A79" s="20" t="s">
        <v>140</v>
      </c>
    </row>
    <row r="80" spans="1:4" x14ac:dyDescent="0.25">
      <c r="A80" s="21" t="s">
        <v>131</v>
      </c>
    </row>
    <row r="81" spans="1:1" x14ac:dyDescent="0.25">
      <c r="A81" s="21" t="s">
        <v>132</v>
      </c>
    </row>
    <row r="82" spans="1:1" x14ac:dyDescent="0.25">
      <c r="A82" s="21" t="s">
        <v>142</v>
      </c>
    </row>
  </sheetData>
  <mergeCells count="2">
    <mergeCell ref="A2:D2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103" workbookViewId="0">
      <selection activeCell="B24" sqref="B24"/>
    </sheetView>
  </sheetViews>
  <sheetFormatPr baseColWidth="10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4" ht="15.75" x14ac:dyDescent="0.25">
      <c r="A2" s="39" t="s">
        <v>145</v>
      </c>
      <c r="B2" s="39"/>
      <c r="C2" s="39"/>
      <c r="D2" s="39"/>
    </row>
    <row r="4" spans="1:4" x14ac:dyDescent="0.25">
      <c r="A4" s="40" t="s">
        <v>0</v>
      </c>
      <c r="B4" s="1" t="s">
        <v>1</v>
      </c>
      <c r="C4" s="18" t="s">
        <v>2</v>
      </c>
      <c r="D4" s="1" t="s">
        <v>5</v>
      </c>
    </row>
    <row r="5" spans="1:4" ht="15.75" thickBot="1" x14ac:dyDescent="0.3">
      <c r="A5" s="41"/>
      <c r="B5" s="2" t="s">
        <v>3</v>
      </c>
      <c r="C5" s="2" t="s">
        <v>4</v>
      </c>
      <c r="D5" s="2" t="s">
        <v>137</v>
      </c>
    </row>
    <row r="6" spans="1:4" ht="15.75" thickTop="1" x14ac:dyDescent="0.25"/>
    <row r="7" spans="1:4" x14ac:dyDescent="0.25">
      <c r="A7" s="3" t="s">
        <v>6</v>
      </c>
    </row>
    <row r="9" spans="1:4" x14ac:dyDescent="0.25">
      <c r="A9" t="s">
        <v>7</v>
      </c>
    </row>
    <row r="10" spans="1:4" x14ac:dyDescent="0.25">
      <c r="A10" s="4" t="s">
        <v>77</v>
      </c>
      <c r="B10" s="7">
        <f>C10</f>
        <v>159</v>
      </c>
      <c r="C10" s="7">
        <v>159</v>
      </c>
      <c r="D10" s="5"/>
    </row>
    <row r="11" spans="1:4" x14ac:dyDescent="0.25">
      <c r="A11" s="4" t="s">
        <v>78</v>
      </c>
      <c r="B11" s="7">
        <f>C11</f>
        <v>350</v>
      </c>
      <c r="C11" s="7">
        <f>350</f>
        <v>350</v>
      </c>
      <c r="D11" s="5"/>
    </row>
    <row r="12" spans="1:4" x14ac:dyDescent="0.25">
      <c r="A12" s="4" t="s">
        <v>79</v>
      </c>
      <c r="B12" s="7">
        <f>C12</f>
        <v>208</v>
      </c>
      <c r="C12" s="7">
        <v>208</v>
      </c>
      <c r="D12" s="5"/>
    </row>
    <row r="13" spans="1:4" x14ac:dyDescent="0.25">
      <c r="A13" s="4" t="s">
        <v>11</v>
      </c>
      <c r="B13" s="7">
        <f>C13</f>
        <v>350</v>
      </c>
      <c r="C13" s="7">
        <f>350</f>
        <v>350</v>
      </c>
      <c r="D13" s="5"/>
    </row>
    <row r="14" spans="1:4" x14ac:dyDescent="0.25">
      <c r="B14" s="5"/>
      <c r="C14" s="5"/>
      <c r="D14" s="5"/>
    </row>
    <row r="15" spans="1:4" x14ac:dyDescent="0.25">
      <c r="A15" s="6" t="s">
        <v>12</v>
      </c>
      <c r="B15" s="5"/>
      <c r="C15" s="5"/>
      <c r="D15" s="5"/>
    </row>
    <row r="16" spans="1:4" x14ac:dyDescent="0.25">
      <c r="A16" s="4" t="s">
        <v>80</v>
      </c>
      <c r="B16" s="7">
        <f>SUM(C16:D16)</f>
        <v>520532359.39999998</v>
      </c>
      <c r="C16" s="9">
        <v>186282359.40000001</v>
      </c>
      <c r="D16" s="9">
        <v>334250000</v>
      </c>
    </row>
    <row r="17" spans="1:4" x14ac:dyDescent="0.25">
      <c r="A17" s="4" t="s">
        <v>81</v>
      </c>
      <c r="B17" s="7">
        <f>SUM(C17:D17)</f>
        <v>245903409</v>
      </c>
      <c r="C17" s="7">
        <v>193403409</v>
      </c>
      <c r="D17" s="7">
        <f>37500000+15000000</f>
        <v>52500000</v>
      </c>
    </row>
    <row r="18" spans="1:4" x14ac:dyDescent="0.25">
      <c r="A18" s="4" t="s">
        <v>82</v>
      </c>
      <c r="B18" s="9">
        <f>SUM(C18:D18)</f>
        <v>442055233</v>
      </c>
      <c r="C18" s="9">
        <v>304567783</v>
      </c>
      <c r="D18" s="9">
        <v>137487450</v>
      </c>
    </row>
    <row r="19" spans="1:4" x14ac:dyDescent="0.25">
      <c r="A19" s="4" t="s">
        <v>11</v>
      </c>
      <c r="B19" s="7">
        <v>983613636</v>
      </c>
      <c r="C19" s="7">
        <v>773613636</v>
      </c>
      <c r="D19" s="7">
        <f>150000000+60000000</f>
        <v>210000000</v>
      </c>
    </row>
    <row r="20" spans="1:4" x14ac:dyDescent="0.25">
      <c r="A20" s="4" t="s">
        <v>83</v>
      </c>
      <c r="B20" s="7">
        <f>C20</f>
        <v>304567783</v>
      </c>
      <c r="C20" s="7">
        <f>C18</f>
        <v>304567783</v>
      </c>
      <c r="D20" s="7"/>
    </row>
    <row r="21" spans="1:4" x14ac:dyDescent="0.25">
      <c r="B21" s="7"/>
      <c r="C21" s="7"/>
      <c r="D21" s="7"/>
    </row>
    <row r="22" spans="1:4" x14ac:dyDescent="0.25">
      <c r="A22" s="8" t="s">
        <v>17</v>
      </c>
      <c r="B22" s="9"/>
      <c r="C22" s="9"/>
      <c r="D22" s="9"/>
    </row>
    <row r="23" spans="1:4" x14ac:dyDescent="0.25">
      <c r="A23" s="10" t="s">
        <v>78</v>
      </c>
      <c r="B23" s="9">
        <f>B17</f>
        <v>245903409</v>
      </c>
      <c r="C23" s="9"/>
      <c r="D23" s="9"/>
    </row>
    <row r="24" spans="1:4" x14ac:dyDescent="0.25">
      <c r="A24" s="10" t="s">
        <v>79</v>
      </c>
      <c r="B24" s="9">
        <v>289756421.79999995</v>
      </c>
      <c r="C24" s="9"/>
      <c r="D24" s="9"/>
    </row>
    <row r="25" spans="1:4" x14ac:dyDescent="0.25">
      <c r="A25" s="11"/>
      <c r="B25" s="11"/>
      <c r="C25" s="11"/>
      <c r="D25" s="11"/>
    </row>
    <row r="26" spans="1:4" x14ac:dyDescent="0.25">
      <c r="A26" s="11" t="s">
        <v>18</v>
      </c>
      <c r="B26" s="11"/>
      <c r="C26" s="11"/>
      <c r="D26" s="11"/>
    </row>
    <row r="27" spans="1:4" x14ac:dyDescent="0.25">
      <c r="A27" s="10" t="s">
        <v>84</v>
      </c>
      <c r="B27" s="17">
        <v>1.4207485692333333</v>
      </c>
      <c r="C27" s="17">
        <v>1.4207485692333333</v>
      </c>
      <c r="D27" s="17">
        <v>1.4207485692333333</v>
      </c>
    </row>
    <row r="28" spans="1:4" x14ac:dyDescent="0.25">
      <c r="A28" s="10" t="s">
        <v>85</v>
      </c>
      <c r="B28" s="17">
        <v>1.4880743485666665</v>
      </c>
      <c r="C28" s="17">
        <v>1.4880743485666665</v>
      </c>
      <c r="D28" s="17">
        <v>1.4880743485666665</v>
      </c>
    </row>
    <row r="29" spans="1:4" x14ac:dyDescent="0.25">
      <c r="A29" s="10" t="s">
        <v>21</v>
      </c>
      <c r="B29" s="9">
        <v>642</v>
      </c>
      <c r="C29" s="9">
        <v>642</v>
      </c>
      <c r="D29" s="9">
        <v>642</v>
      </c>
    </row>
    <row r="30" spans="1:4" x14ac:dyDescent="0.25">
      <c r="A30" s="11"/>
      <c r="B30" s="11"/>
      <c r="C30" s="11"/>
      <c r="D30" s="11"/>
    </row>
    <row r="31" spans="1:4" x14ac:dyDescent="0.25">
      <c r="A31" s="12" t="s">
        <v>22</v>
      </c>
      <c r="B31" s="11"/>
      <c r="C31" s="11"/>
      <c r="D31" s="11"/>
    </row>
    <row r="32" spans="1:4" x14ac:dyDescent="0.25">
      <c r="A32" s="11" t="s">
        <v>86</v>
      </c>
      <c r="B32" s="9">
        <f>B16/B27</f>
        <v>366378943.23616356</v>
      </c>
      <c r="C32" s="9">
        <f>C16/C27</f>
        <v>131115641.03177102</v>
      </c>
      <c r="D32" s="9">
        <f>D16/D27</f>
        <v>235263302.20439255</v>
      </c>
    </row>
    <row r="33" spans="1:8" x14ac:dyDescent="0.25">
      <c r="A33" s="11" t="s">
        <v>87</v>
      </c>
      <c r="B33" s="9">
        <f>B18/B28</f>
        <v>297065286.70814979</v>
      </c>
      <c r="C33" s="9">
        <f>C18/C28</f>
        <v>204672423.31901214</v>
      </c>
      <c r="D33" s="9">
        <f>D18/D28</f>
        <v>92392863.389137641</v>
      </c>
    </row>
    <row r="34" spans="1:8" x14ac:dyDescent="0.25">
      <c r="A34" s="11" t="s">
        <v>88</v>
      </c>
      <c r="B34" s="9">
        <f>B32/B10</f>
        <v>2304270.0832463116</v>
      </c>
      <c r="C34" s="9">
        <f t="shared" ref="C34" si="0">C32/C10</f>
        <v>824626.67315579252</v>
      </c>
      <c r="D34" s="9"/>
    </row>
    <row r="35" spans="1:8" x14ac:dyDescent="0.25">
      <c r="A35" s="11" t="s">
        <v>89</v>
      </c>
      <c r="B35" s="9">
        <f>B33/B12</f>
        <v>1428198.4937891816</v>
      </c>
      <c r="C35" s="9">
        <f>C33/C12</f>
        <v>984002.03518755839</v>
      </c>
      <c r="D35" s="9"/>
    </row>
    <row r="37" spans="1:8" x14ac:dyDescent="0.25">
      <c r="A37" s="3" t="s">
        <v>27</v>
      </c>
    </row>
    <row r="39" spans="1:8" x14ac:dyDescent="0.25">
      <c r="A39" t="s">
        <v>28</v>
      </c>
    </row>
    <row r="40" spans="1:8" x14ac:dyDescent="0.25">
      <c r="A40" t="s">
        <v>29</v>
      </c>
      <c r="B40" s="15">
        <f>(B11*100)/(B29)</f>
        <v>54.517133956386296</v>
      </c>
      <c r="C40" s="15">
        <f>(C11*100)/(C29)</f>
        <v>54.517133956386296</v>
      </c>
      <c r="D40" s="13"/>
      <c r="E40" s="11"/>
      <c r="F40" s="11"/>
      <c r="G40" s="11"/>
      <c r="H40" s="11"/>
    </row>
    <row r="41" spans="1:8" x14ac:dyDescent="0.25">
      <c r="A41" t="s">
        <v>30</v>
      </c>
      <c r="B41" s="15">
        <f>(B12*100)/(B29)</f>
        <v>32.398753894080997</v>
      </c>
      <c r="C41" s="15">
        <f>(C12*100)/(C29)</f>
        <v>32.398753894080997</v>
      </c>
      <c r="D41" s="13"/>
    </row>
    <row r="43" spans="1:8" x14ac:dyDescent="0.25">
      <c r="A43" t="s">
        <v>31</v>
      </c>
    </row>
    <row r="44" spans="1:8" x14ac:dyDescent="0.25">
      <c r="A44" t="s">
        <v>32</v>
      </c>
      <c r="B44" s="14">
        <f>B12/B11*100</f>
        <v>59.428571428571431</v>
      </c>
      <c r="C44" s="14">
        <f>C12/C11*100</f>
        <v>59.428571428571431</v>
      </c>
      <c r="D44" s="14"/>
    </row>
    <row r="45" spans="1:8" x14ac:dyDescent="0.25">
      <c r="A45" t="s">
        <v>33</v>
      </c>
      <c r="B45" s="14">
        <f>B18/B17*100</f>
        <v>179.76783436946982</v>
      </c>
      <c r="C45" s="14">
        <f>C18/C17*100</f>
        <v>157.47798064924493</v>
      </c>
      <c r="D45" s="14">
        <f>D18/D17*100</f>
        <v>261.88085714285717</v>
      </c>
    </row>
    <row r="46" spans="1:8" x14ac:dyDescent="0.25">
      <c r="A46" s="11" t="s">
        <v>34</v>
      </c>
      <c r="B46" s="13">
        <f>AVERAGE(B44:B45)</f>
        <v>119.59820289902063</v>
      </c>
      <c r="C46" s="13">
        <f>AVERAGE(C44:C45)</f>
        <v>108.45327603890817</v>
      </c>
      <c r="D46" s="13"/>
    </row>
    <row r="47" spans="1:8" x14ac:dyDescent="0.25">
      <c r="A47" s="11"/>
      <c r="B47" s="13"/>
      <c r="C47" s="13"/>
      <c r="D47" s="13"/>
    </row>
    <row r="48" spans="1:8" x14ac:dyDescent="0.25">
      <c r="A48" s="11" t="s">
        <v>35</v>
      </c>
      <c r="B48" s="11"/>
      <c r="C48" s="11"/>
      <c r="D48" s="11"/>
    </row>
    <row r="49" spans="1:4" x14ac:dyDescent="0.25">
      <c r="A49" s="11" t="s">
        <v>36</v>
      </c>
      <c r="B49" s="13">
        <f>B12/(B13*4)*100</f>
        <v>14.857142857142858</v>
      </c>
      <c r="C49" s="13">
        <f>C12/(C13*4)*100</f>
        <v>14.857142857142858</v>
      </c>
      <c r="D49" s="13"/>
    </row>
    <row r="50" spans="1:4" x14ac:dyDescent="0.25">
      <c r="A50" s="11" t="s">
        <v>37</v>
      </c>
      <c r="B50" s="13">
        <f>B18/B19*100</f>
        <v>44.941958592367456</v>
      </c>
      <c r="C50" s="13">
        <f>C18/C19*100</f>
        <v>39.369495162311232</v>
      </c>
      <c r="D50" s="13">
        <f>D18/D19*100</f>
        <v>65.470214285714292</v>
      </c>
    </row>
    <row r="51" spans="1:4" x14ac:dyDescent="0.25">
      <c r="A51" s="11" t="s">
        <v>38</v>
      </c>
      <c r="B51" s="13">
        <f>(B49+B50)/2</f>
        <v>29.899550724755159</v>
      </c>
      <c r="C51" s="13">
        <f>(C49+C50)/2</f>
        <v>27.113319009727043</v>
      </c>
      <c r="D51" s="13"/>
    </row>
    <row r="52" spans="1:4" x14ac:dyDescent="0.25">
      <c r="A52" s="11"/>
      <c r="B52" s="11"/>
      <c r="C52" s="11"/>
      <c r="D52" s="11"/>
    </row>
    <row r="53" spans="1:4" x14ac:dyDescent="0.25">
      <c r="A53" s="11" t="s">
        <v>129</v>
      </c>
      <c r="B53" s="11"/>
      <c r="C53" s="11"/>
      <c r="D53" s="11"/>
    </row>
    <row r="54" spans="1:4" x14ac:dyDescent="0.25">
      <c r="A54" s="11" t="s">
        <v>39</v>
      </c>
      <c r="B54" s="15">
        <f>(B20/B18)*100</f>
        <v>68.898128619144757</v>
      </c>
      <c r="C54" s="13"/>
      <c r="D54" s="13"/>
    </row>
    <row r="55" spans="1:4" x14ac:dyDescent="0.25">
      <c r="A55" s="11"/>
      <c r="B55" s="11"/>
      <c r="C55" s="11"/>
      <c r="D55" s="11"/>
    </row>
    <row r="56" spans="1:4" x14ac:dyDescent="0.25">
      <c r="A56" s="11" t="s">
        <v>40</v>
      </c>
      <c r="B56" s="11"/>
      <c r="C56" s="11"/>
      <c r="D56" s="11"/>
    </row>
    <row r="57" spans="1:4" x14ac:dyDescent="0.25">
      <c r="A57" s="11" t="s">
        <v>41</v>
      </c>
      <c r="B57" s="14">
        <f>((B12/B10)-1)*100</f>
        <v>30.817610062893074</v>
      </c>
      <c r="C57" s="14"/>
      <c r="D57" s="13"/>
    </row>
    <row r="58" spans="1:4" x14ac:dyDescent="0.25">
      <c r="A58" s="11" t="s">
        <v>42</v>
      </c>
      <c r="B58" s="14">
        <f>((B33/B32)-1)*100</f>
        <v>-18.918569914465579</v>
      </c>
      <c r="C58" s="14">
        <f>((C33/C32)-1)*100</f>
        <v>56.1006922655531</v>
      </c>
      <c r="D58" s="14">
        <f>((D33/D32)-1)*100</f>
        <v>-60.727889762905576</v>
      </c>
    </row>
    <row r="59" spans="1:4" x14ac:dyDescent="0.25">
      <c r="A59" s="11" t="s">
        <v>43</v>
      </c>
      <c r="B59" s="14">
        <f>((B35/B34)-1)*100</f>
        <v>-38.019483732692436</v>
      </c>
      <c r="C59" s="14">
        <f>((C35/C34)-1)*100</f>
        <v>19.326971491456458</v>
      </c>
      <c r="D59" s="13"/>
    </row>
    <row r="60" spans="1:4" x14ac:dyDescent="0.25">
      <c r="A60" s="11"/>
      <c r="B60" s="13"/>
      <c r="C60" s="13"/>
      <c r="D60" s="13"/>
    </row>
    <row r="61" spans="1:4" x14ac:dyDescent="0.25">
      <c r="A61" s="11" t="s">
        <v>44</v>
      </c>
      <c r="B61" s="11"/>
      <c r="C61" s="11"/>
      <c r="D61" s="11"/>
    </row>
    <row r="62" spans="1:4" x14ac:dyDescent="0.25">
      <c r="A62" t="s">
        <v>133</v>
      </c>
      <c r="B62" s="9">
        <f>B17/(B11*3)</f>
        <v>234193.72285714286</v>
      </c>
      <c r="C62" s="9">
        <f>C17/(C11*3)</f>
        <v>184193.72285714286</v>
      </c>
      <c r="D62" s="9"/>
    </row>
    <row r="63" spans="1:4" x14ac:dyDescent="0.25">
      <c r="A63" t="s">
        <v>134</v>
      </c>
      <c r="B63" s="9">
        <f>B18/(B12*3)</f>
        <v>708421.84775641025</v>
      </c>
      <c r="C63" s="9">
        <f>C18/(C12*3)</f>
        <v>488089.39583333331</v>
      </c>
      <c r="D63" s="9"/>
    </row>
    <row r="64" spans="1:4" x14ac:dyDescent="0.25">
      <c r="A64" s="11" t="s">
        <v>45</v>
      </c>
      <c r="B64" s="9">
        <f>(B62/B63)*B46</f>
        <v>39.537386477635117</v>
      </c>
      <c r="C64" s="9">
        <f>(C62/C63)*C46</f>
        <v>40.927774379431838</v>
      </c>
      <c r="D64" s="13"/>
    </row>
    <row r="65" spans="1:4" x14ac:dyDescent="0.25">
      <c r="A65" s="13" t="s">
        <v>135</v>
      </c>
      <c r="B65" s="9">
        <f>B17/B11</f>
        <v>702581.16857142863</v>
      </c>
      <c r="C65" s="9">
        <f>C17/C11</f>
        <v>552581.16857142863</v>
      </c>
      <c r="D65" s="13"/>
    </row>
    <row r="66" spans="1:4" x14ac:dyDescent="0.25">
      <c r="A66" s="13" t="s">
        <v>136</v>
      </c>
      <c r="B66" s="9">
        <f>B18/B12</f>
        <v>2125265.543269231</v>
      </c>
      <c r="C66" s="9">
        <f>C18/C12</f>
        <v>1464268.1875</v>
      </c>
      <c r="D66" s="13"/>
    </row>
    <row r="67" spans="1:4" x14ac:dyDescent="0.25">
      <c r="B67" s="9"/>
      <c r="C67" s="9"/>
      <c r="D67" s="14"/>
    </row>
    <row r="68" spans="1:4" x14ac:dyDescent="0.25">
      <c r="A68" t="s">
        <v>46</v>
      </c>
      <c r="B68" s="14"/>
      <c r="C68" s="14"/>
      <c r="D68" s="14"/>
    </row>
    <row r="69" spans="1:4" x14ac:dyDescent="0.25">
      <c r="A69" s="11" t="s">
        <v>47</v>
      </c>
      <c r="B69" s="13">
        <f>(B24/B23)*100</f>
        <v>117.83343019860288</v>
      </c>
      <c r="C69" s="13"/>
      <c r="D69" s="13"/>
    </row>
    <row r="70" spans="1:4" x14ac:dyDescent="0.25">
      <c r="A70" s="11" t="s">
        <v>48</v>
      </c>
      <c r="B70" s="13">
        <f>(B18/B24)*100</f>
        <v>152.56097871926443</v>
      </c>
      <c r="C70" s="13"/>
      <c r="D70" s="13"/>
    </row>
    <row r="71" spans="1:4" ht="15.75" thickBot="1" x14ac:dyDescent="0.3">
      <c r="A71" s="16"/>
      <c r="B71" s="16"/>
      <c r="C71" s="16"/>
      <c r="D71" s="16"/>
    </row>
    <row r="72" spans="1:4" ht="15.75" thickTop="1" x14ac:dyDescent="0.25"/>
    <row r="73" spans="1:4" x14ac:dyDescent="0.25">
      <c r="A73" t="s">
        <v>49</v>
      </c>
    </row>
    <row r="74" spans="1:4" x14ac:dyDescent="0.25">
      <c r="A74" t="s">
        <v>139</v>
      </c>
    </row>
    <row r="75" spans="1:4" x14ac:dyDescent="0.25">
      <c r="A75" t="s">
        <v>50</v>
      </c>
      <c r="B75" s="5"/>
      <c r="C75" s="5"/>
      <c r="D75" s="5"/>
    </row>
    <row r="76" spans="1:4" x14ac:dyDescent="0.25">
      <c r="A76" t="s">
        <v>138</v>
      </c>
    </row>
    <row r="78" spans="1:4" x14ac:dyDescent="0.25">
      <c r="A78" t="s">
        <v>130</v>
      </c>
    </row>
    <row r="79" spans="1:4" x14ac:dyDescent="0.25">
      <c r="A79" s="20" t="s">
        <v>140</v>
      </c>
    </row>
    <row r="80" spans="1:4" x14ac:dyDescent="0.25">
      <c r="A80" s="21" t="s">
        <v>131</v>
      </c>
    </row>
    <row r="81" spans="1:1" x14ac:dyDescent="0.25">
      <c r="A81" s="21" t="s">
        <v>132</v>
      </c>
    </row>
    <row r="82" spans="1:1" x14ac:dyDescent="0.25">
      <c r="A82" s="21" t="s">
        <v>142</v>
      </c>
    </row>
  </sheetData>
  <mergeCells count="2">
    <mergeCell ref="A2:D2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79" workbookViewId="0">
      <selection activeCell="G99" sqref="G99"/>
    </sheetView>
  </sheetViews>
  <sheetFormatPr baseColWidth="10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4" ht="15.75" x14ac:dyDescent="0.25">
      <c r="A2" s="39" t="s">
        <v>144</v>
      </c>
      <c r="B2" s="39"/>
      <c r="C2" s="39"/>
      <c r="D2" s="39"/>
    </row>
    <row r="4" spans="1:4" x14ac:dyDescent="0.25">
      <c r="A4" s="40" t="s">
        <v>0</v>
      </c>
      <c r="B4" s="1" t="s">
        <v>1</v>
      </c>
      <c r="C4" s="18" t="s">
        <v>2</v>
      </c>
      <c r="D4" s="1" t="s">
        <v>5</v>
      </c>
    </row>
    <row r="5" spans="1:4" ht="15.75" thickBot="1" x14ac:dyDescent="0.3">
      <c r="A5" s="41"/>
      <c r="B5" s="2" t="s">
        <v>3</v>
      </c>
      <c r="C5" s="2" t="s">
        <v>4</v>
      </c>
      <c r="D5" s="2" t="s">
        <v>137</v>
      </c>
    </row>
    <row r="6" spans="1:4" ht="15.75" thickTop="1" x14ac:dyDescent="0.25"/>
    <row r="7" spans="1:4" x14ac:dyDescent="0.25">
      <c r="A7" s="3" t="s">
        <v>6</v>
      </c>
    </row>
    <row r="9" spans="1:4" x14ac:dyDescent="0.25">
      <c r="A9" t="s">
        <v>7</v>
      </c>
    </row>
    <row r="10" spans="1:4" x14ac:dyDescent="0.25">
      <c r="A10" s="4" t="s">
        <v>116</v>
      </c>
      <c r="B10" s="7">
        <f>C10</f>
        <v>132.5</v>
      </c>
      <c r="C10" s="7">
        <f>('I Trimestre'!C10+'II Trimestre'!C10)/2</f>
        <v>132.5</v>
      </c>
      <c r="D10" s="5"/>
    </row>
    <row r="11" spans="1:4" x14ac:dyDescent="0.25">
      <c r="A11" s="4" t="s">
        <v>117</v>
      </c>
      <c r="B11" s="7">
        <f>C11</f>
        <v>350</v>
      </c>
      <c r="C11" s="7">
        <f>('I Trimestre'!C11+'II Trimestre'!C11)/2</f>
        <v>350</v>
      </c>
      <c r="D11" s="5"/>
    </row>
    <row r="12" spans="1:4" x14ac:dyDescent="0.25">
      <c r="A12" s="4" t="s">
        <v>118</v>
      </c>
      <c r="B12" s="7">
        <f>C12</f>
        <v>154</v>
      </c>
      <c r="C12" s="7">
        <f>('I Trimestre'!C12+'II Trimestre'!C12)/2</f>
        <v>154</v>
      </c>
      <c r="D12" s="5"/>
    </row>
    <row r="13" spans="1:4" x14ac:dyDescent="0.25">
      <c r="A13" s="4" t="s">
        <v>11</v>
      </c>
      <c r="B13" s="7">
        <f>C13</f>
        <v>350</v>
      </c>
      <c r="C13" s="7">
        <f>('I Trimestre'!C13+'II Trimestre'!C13)/2</f>
        <v>350</v>
      </c>
      <c r="D13" s="5"/>
    </row>
    <row r="14" spans="1:4" x14ac:dyDescent="0.25">
      <c r="B14" s="5"/>
      <c r="C14" s="5"/>
      <c r="D14" s="5"/>
    </row>
    <row r="15" spans="1:4" x14ac:dyDescent="0.25">
      <c r="A15" s="6" t="s">
        <v>12</v>
      </c>
      <c r="B15" s="5"/>
      <c r="C15" s="5"/>
      <c r="D15" s="5"/>
    </row>
    <row r="16" spans="1:4" x14ac:dyDescent="0.25">
      <c r="A16" s="4" t="s">
        <v>119</v>
      </c>
      <c r="B16" s="9">
        <f>SUM(C16:D16)</f>
        <v>889713201.68000007</v>
      </c>
      <c r="C16" s="9">
        <f>'I Trimestre'!C16+'II Trimestre'!C16</f>
        <v>221213201.68000001</v>
      </c>
      <c r="D16" s="9">
        <f>'I Trimestre'!D16+'II Trimestre'!D16</f>
        <v>668500000</v>
      </c>
    </row>
    <row r="17" spans="1:4" x14ac:dyDescent="0.25">
      <c r="A17" s="4" t="s">
        <v>120</v>
      </c>
      <c r="B17" s="7">
        <f>SUM(C17:D17)</f>
        <v>491806818</v>
      </c>
      <c r="C17" s="7">
        <f>'I Trimestre'!C17+'II Trimestre'!C17</f>
        <v>386806818</v>
      </c>
      <c r="D17" s="7">
        <f>'I Trimestre'!D17+'II Trimestre'!D17</f>
        <v>105000000</v>
      </c>
    </row>
    <row r="18" spans="1:4" x14ac:dyDescent="0.25">
      <c r="A18" s="4" t="s">
        <v>121</v>
      </c>
      <c r="B18" s="9">
        <f>SUM(C18:D18)</f>
        <v>361651399.5</v>
      </c>
      <c r="C18" s="7">
        <f>'I Trimestre'!C18+'II Trimestre'!C18</f>
        <v>356446399.5</v>
      </c>
      <c r="D18" s="7">
        <f>'I Trimestre'!D18+'II Trimestre'!D18</f>
        <v>5205000</v>
      </c>
    </row>
    <row r="19" spans="1:4" x14ac:dyDescent="0.25">
      <c r="A19" s="4" t="s">
        <v>11</v>
      </c>
      <c r="B19" s="7">
        <v>983613636</v>
      </c>
      <c r="C19" s="7">
        <v>773613636</v>
      </c>
      <c r="D19" s="7">
        <f>150000000+60000000</f>
        <v>210000000</v>
      </c>
    </row>
    <row r="20" spans="1:4" x14ac:dyDescent="0.25">
      <c r="A20" s="4" t="s">
        <v>122</v>
      </c>
      <c r="B20" s="7">
        <f>C20</f>
        <v>356446399.5</v>
      </c>
      <c r="C20" s="7">
        <f>C18</f>
        <v>356446399.5</v>
      </c>
      <c r="D20" s="7"/>
    </row>
    <row r="21" spans="1:4" x14ac:dyDescent="0.25">
      <c r="B21" s="7"/>
      <c r="C21" s="7"/>
      <c r="D21" s="7"/>
    </row>
    <row r="22" spans="1:4" x14ac:dyDescent="0.25">
      <c r="A22" s="8" t="s">
        <v>17</v>
      </c>
      <c r="B22" s="9"/>
      <c r="C22" s="9"/>
      <c r="D22" s="9"/>
    </row>
    <row r="23" spans="1:4" x14ac:dyDescent="0.25">
      <c r="A23" s="10" t="s">
        <v>117</v>
      </c>
      <c r="B23" s="9">
        <f>B17</f>
        <v>491806818</v>
      </c>
      <c r="C23" s="9"/>
      <c r="D23" s="9"/>
    </row>
    <row r="24" spans="1:4" x14ac:dyDescent="0.25">
      <c r="A24" s="10" t="s">
        <v>118</v>
      </c>
      <c r="B24" s="7">
        <f>'I Trimestre'!B24+'II Trimestre'!B24</f>
        <v>430450925.30000001</v>
      </c>
      <c r="C24" s="9"/>
      <c r="D24" s="9"/>
    </row>
    <row r="25" spans="1:4" x14ac:dyDescent="0.25">
      <c r="A25" s="11"/>
      <c r="B25" s="11"/>
      <c r="C25" s="11"/>
      <c r="D25" s="11"/>
    </row>
    <row r="26" spans="1:4" x14ac:dyDescent="0.25">
      <c r="A26" s="11" t="s">
        <v>18</v>
      </c>
      <c r="B26" s="11"/>
      <c r="C26" s="11"/>
      <c r="D26" s="11"/>
    </row>
    <row r="27" spans="1:4" x14ac:dyDescent="0.25">
      <c r="A27" s="10" t="s">
        <v>123</v>
      </c>
      <c r="B27" s="17">
        <v>1.3875734139666667</v>
      </c>
      <c r="C27" s="17">
        <v>1.3875734139666667</v>
      </c>
      <c r="D27" s="17">
        <v>1.3875734139666667</v>
      </c>
    </row>
    <row r="28" spans="1:4" x14ac:dyDescent="0.25">
      <c r="A28" s="10" t="s">
        <v>124</v>
      </c>
      <c r="B28" s="17">
        <v>1.45394391315</v>
      </c>
      <c r="C28" s="17">
        <v>1.45394391315</v>
      </c>
      <c r="D28" s="17">
        <v>1.45394391315</v>
      </c>
    </row>
    <row r="29" spans="1:4" x14ac:dyDescent="0.25">
      <c r="A29" s="10" t="s">
        <v>21</v>
      </c>
      <c r="B29" s="9">
        <v>642</v>
      </c>
      <c r="C29" s="9">
        <v>642</v>
      </c>
      <c r="D29" s="9">
        <v>642</v>
      </c>
    </row>
    <row r="30" spans="1:4" x14ac:dyDescent="0.25">
      <c r="A30" s="11"/>
      <c r="B30" s="11"/>
      <c r="C30" s="11"/>
      <c r="D30" s="11"/>
    </row>
    <row r="31" spans="1:4" x14ac:dyDescent="0.25">
      <c r="A31" s="12" t="s">
        <v>22</v>
      </c>
      <c r="B31" s="11"/>
      <c r="C31" s="11"/>
      <c r="D31" s="11"/>
    </row>
    <row r="32" spans="1:4" x14ac:dyDescent="0.25">
      <c r="A32" s="11" t="s">
        <v>125</v>
      </c>
      <c r="B32" s="9">
        <f>B16/B27</f>
        <v>641200813.39449286</v>
      </c>
      <c r="C32" s="9">
        <f>C16/C27</f>
        <v>159424502.84314409</v>
      </c>
      <c r="D32" s="9">
        <f>D16/D27</f>
        <v>481776310.55134875</v>
      </c>
    </row>
    <row r="33" spans="1:8" x14ac:dyDescent="0.25">
      <c r="A33" s="11" t="s">
        <v>126</v>
      </c>
      <c r="B33" s="9">
        <f>B18/B28</f>
        <v>248738205.25612617</v>
      </c>
      <c r="C33" s="9">
        <f>C18/C28</f>
        <v>245158287.24627444</v>
      </c>
      <c r="D33" s="9">
        <f>D18/D28</f>
        <v>3579918.0098517407</v>
      </c>
    </row>
    <row r="34" spans="1:8" x14ac:dyDescent="0.25">
      <c r="A34" s="11" t="s">
        <v>127</v>
      </c>
      <c r="B34" s="9">
        <f>B32/B10</f>
        <v>4839251.4218452293</v>
      </c>
      <c r="C34" s="9">
        <f t="shared" ref="C34" si="0">C32/C10</f>
        <v>1203203.795042597</v>
      </c>
      <c r="D34" s="9"/>
    </row>
    <row r="35" spans="1:8" x14ac:dyDescent="0.25">
      <c r="A35" s="11" t="s">
        <v>128</v>
      </c>
      <c r="B35" s="9">
        <f>B33/B12</f>
        <v>1615183.1510138062</v>
      </c>
      <c r="C35" s="9">
        <f>C33/C12</f>
        <v>1591936.9301706133</v>
      </c>
      <c r="D35" s="9"/>
    </row>
    <row r="37" spans="1:8" x14ac:dyDescent="0.25">
      <c r="A37" s="3" t="s">
        <v>27</v>
      </c>
    </row>
    <row r="39" spans="1:8" x14ac:dyDescent="0.25">
      <c r="A39" t="s">
        <v>28</v>
      </c>
    </row>
    <row r="40" spans="1:8" x14ac:dyDescent="0.25">
      <c r="A40" t="s">
        <v>29</v>
      </c>
      <c r="B40" s="15">
        <f>(B11*100)/(B29)</f>
        <v>54.517133956386296</v>
      </c>
      <c r="C40" s="15">
        <f>(C11*100)/(C29)</f>
        <v>54.517133956386296</v>
      </c>
      <c r="D40" s="13"/>
      <c r="E40" s="11"/>
      <c r="F40" s="11"/>
      <c r="G40" s="11"/>
      <c r="H40" s="11"/>
    </row>
    <row r="41" spans="1:8" x14ac:dyDescent="0.25">
      <c r="A41" t="s">
        <v>30</v>
      </c>
      <c r="B41" s="15">
        <f>(B12*100)/(B29)</f>
        <v>23.987538940809969</v>
      </c>
      <c r="C41" s="15">
        <f>(C12*100)/(C29)</f>
        <v>23.987538940809969</v>
      </c>
      <c r="D41" s="13"/>
    </row>
    <row r="43" spans="1:8" x14ac:dyDescent="0.25">
      <c r="A43" t="s">
        <v>31</v>
      </c>
    </row>
    <row r="44" spans="1:8" x14ac:dyDescent="0.25">
      <c r="A44" t="s">
        <v>32</v>
      </c>
      <c r="B44" s="14">
        <f>B12/B11*100</f>
        <v>44</v>
      </c>
      <c r="C44" s="14">
        <f>C12/C11*100</f>
        <v>44</v>
      </c>
      <c r="D44" s="14"/>
    </row>
    <row r="45" spans="1:8" x14ac:dyDescent="0.25">
      <c r="A45" t="s">
        <v>33</v>
      </c>
      <c r="B45" s="14">
        <f>B18/B17*100</f>
        <v>73.535255361181271</v>
      </c>
      <c r="C45" s="14">
        <f>C18/C17*100</f>
        <v>92.151012575998593</v>
      </c>
      <c r="D45" s="14">
        <f>D18/D17*100</f>
        <v>4.9571428571428573</v>
      </c>
    </row>
    <row r="46" spans="1:8" x14ac:dyDescent="0.25">
      <c r="A46" s="11" t="s">
        <v>34</v>
      </c>
      <c r="B46" s="13">
        <f>AVERAGE(B44:B45)</f>
        <v>58.767627680590635</v>
      </c>
      <c r="C46" s="13">
        <f>AVERAGE(C44:C45)</f>
        <v>68.075506287999303</v>
      </c>
      <c r="D46" s="13"/>
    </row>
    <row r="47" spans="1:8" x14ac:dyDescent="0.25">
      <c r="A47" s="11"/>
      <c r="B47" s="13"/>
      <c r="C47" s="13"/>
      <c r="D47" s="13"/>
    </row>
    <row r="48" spans="1:8" x14ac:dyDescent="0.25">
      <c r="A48" s="11" t="s">
        <v>35</v>
      </c>
      <c r="B48" s="11"/>
      <c r="C48" s="11"/>
      <c r="D48" s="11"/>
    </row>
    <row r="49" spans="1:4" x14ac:dyDescent="0.25">
      <c r="A49" s="11" t="s">
        <v>36</v>
      </c>
      <c r="B49" s="13">
        <f>B12/(B13*2)*100</f>
        <v>22</v>
      </c>
      <c r="C49" s="13">
        <f>C12/(C13*2)*100</f>
        <v>22</v>
      </c>
      <c r="D49" s="13"/>
    </row>
    <row r="50" spans="1:4" x14ac:dyDescent="0.25">
      <c r="A50" s="11" t="s">
        <v>37</v>
      </c>
      <c r="B50" s="13">
        <f>B18/B19*100</f>
        <v>36.767627680590635</v>
      </c>
      <c r="C50" s="13">
        <f>C18/C19*100</f>
        <v>46.075506287999296</v>
      </c>
      <c r="D50" s="13">
        <f>D18/D19*100</f>
        <v>2.4785714285714286</v>
      </c>
    </row>
    <row r="51" spans="1:4" x14ac:dyDescent="0.25">
      <c r="A51" s="11" t="s">
        <v>38</v>
      </c>
      <c r="B51" s="13">
        <f>(B49+B50)/2</f>
        <v>29.383813840295318</v>
      </c>
      <c r="C51" s="13">
        <f>(C49+C50)/2</f>
        <v>34.037753143999652</v>
      </c>
      <c r="D51" s="13"/>
    </row>
    <row r="52" spans="1:4" x14ac:dyDescent="0.25">
      <c r="A52" s="11"/>
      <c r="B52" s="11"/>
      <c r="C52" s="11"/>
      <c r="D52" s="11"/>
    </row>
    <row r="53" spans="1:4" x14ac:dyDescent="0.25">
      <c r="A53" s="11" t="s">
        <v>129</v>
      </c>
      <c r="B53" s="11"/>
      <c r="C53" s="11"/>
      <c r="D53" s="11"/>
    </row>
    <row r="54" spans="1:4" x14ac:dyDescent="0.25">
      <c r="A54" s="11" t="s">
        <v>39</v>
      </c>
      <c r="B54" s="15">
        <f>(B20/B18)*100</f>
        <v>98.560768738294342</v>
      </c>
      <c r="C54" s="13"/>
      <c r="D54" s="13"/>
    </row>
    <row r="55" spans="1:4" x14ac:dyDescent="0.25">
      <c r="A55" s="11"/>
      <c r="B55" s="11"/>
      <c r="C55" s="11"/>
      <c r="D55" s="11"/>
    </row>
    <row r="56" spans="1:4" x14ac:dyDescent="0.25">
      <c r="A56" s="11" t="s">
        <v>40</v>
      </c>
      <c r="B56" s="11"/>
      <c r="C56" s="11"/>
      <c r="D56" s="11"/>
    </row>
    <row r="57" spans="1:4" x14ac:dyDescent="0.25">
      <c r="A57" s="11" t="s">
        <v>41</v>
      </c>
      <c r="B57" s="14">
        <f>((B12/B10)-1)*100</f>
        <v>16.226415094339618</v>
      </c>
      <c r="C57" s="14"/>
      <c r="D57" s="13"/>
    </row>
    <row r="58" spans="1:4" x14ac:dyDescent="0.25">
      <c r="A58" s="11" t="s">
        <v>42</v>
      </c>
      <c r="B58" s="14">
        <f>((B33/B32)-1)*100</f>
        <v>-61.207440779852497</v>
      </c>
      <c r="C58" s="14">
        <f>((C33/C32)-1)*100</f>
        <v>53.777043600056153</v>
      </c>
      <c r="D58" s="14">
        <f>((D33/D32)-1)*100</f>
        <v>-99.256933574472598</v>
      </c>
    </row>
    <row r="59" spans="1:4" x14ac:dyDescent="0.25">
      <c r="A59" s="11" t="s">
        <v>43</v>
      </c>
      <c r="B59" s="14">
        <f>((B35/B34)-1)*100</f>
        <v>-66.623285086561395</v>
      </c>
      <c r="C59" s="14">
        <f>((C35/C34)-1)*100</f>
        <v>32.308170629918443</v>
      </c>
      <c r="D59" s="13"/>
    </row>
    <row r="60" spans="1:4" x14ac:dyDescent="0.25">
      <c r="A60" s="11"/>
      <c r="B60" s="13"/>
      <c r="C60" s="13"/>
      <c r="D60" s="13"/>
    </row>
    <row r="61" spans="1:4" x14ac:dyDescent="0.25">
      <c r="A61" s="11" t="s">
        <v>44</v>
      </c>
      <c r="B61" s="11"/>
      <c r="C61" s="11"/>
      <c r="D61" s="11"/>
    </row>
    <row r="62" spans="1:4" x14ac:dyDescent="0.25">
      <c r="A62" t="s">
        <v>133</v>
      </c>
      <c r="B62" s="9">
        <f>B17/(B11*6)</f>
        <v>234193.72285714286</v>
      </c>
      <c r="C62" s="9">
        <f>C17/(C11*6)</f>
        <v>184193.72285714286</v>
      </c>
      <c r="D62" s="9"/>
    </row>
    <row r="63" spans="1:4" x14ac:dyDescent="0.25">
      <c r="A63" t="s">
        <v>134</v>
      </c>
      <c r="B63" s="9">
        <f>B18/(B12*6)</f>
        <v>391397.61850649351</v>
      </c>
      <c r="C63" s="9">
        <f>C18/(C12*6)</f>
        <v>385764.50162337662</v>
      </c>
      <c r="D63" s="9"/>
    </row>
    <row r="64" spans="1:4" x14ac:dyDescent="0.25">
      <c r="A64" s="11" t="s">
        <v>45</v>
      </c>
      <c r="B64" s="9">
        <f>(B62/B63)*B46</f>
        <v>35.163753838148779</v>
      </c>
      <c r="C64" s="9">
        <f>(C62/C63)*C46</f>
        <v>32.504496618544188</v>
      </c>
      <c r="D64" s="13"/>
    </row>
    <row r="65" spans="1:4" x14ac:dyDescent="0.25">
      <c r="A65" s="13" t="s">
        <v>154</v>
      </c>
      <c r="B65" s="9">
        <f>B17/(B11*2)</f>
        <v>702581.16857142863</v>
      </c>
      <c r="C65" s="9">
        <f>C17/(C11*2)</f>
        <v>552581.16857142863</v>
      </c>
      <c r="D65" s="13"/>
    </row>
    <row r="66" spans="1:4" x14ac:dyDescent="0.25">
      <c r="A66" s="13" t="s">
        <v>155</v>
      </c>
      <c r="B66" s="9">
        <f>B18/(B12*2)</f>
        <v>1174192.8555194805</v>
      </c>
      <c r="C66" s="9">
        <f>C18/(C12*2)</f>
        <v>1157293.50487013</v>
      </c>
      <c r="D66" s="13"/>
    </row>
    <row r="67" spans="1:4" x14ac:dyDescent="0.25">
      <c r="B67" s="9"/>
      <c r="C67" s="9"/>
      <c r="D67" s="14"/>
    </row>
    <row r="68" spans="1:4" x14ac:dyDescent="0.25">
      <c r="A68" t="s">
        <v>46</v>
      </c>
      <c r="B68" s="14"/>
      <c r="C68" s="14"/>
      <c r="D68" s="14"/>
    </row>
    <row r="69" spans="1:4" x14ac:dyDescent="0.25">
      <c r="A69" s="11" t="s">
        <v>47</v>
      </c>
      <c r="B69" s="13">
        <f>(B24/B23)*100</f>
        <v>87.524391599630079</v>
      </c>
      <c r="C69" s="13"/>
      <c r="D69" s="13"/>
    </row>
    <row r="70" spans="1:4" x14ac:dyDescent="0.25">
      <c r="A70" s="11" t="s">
        <v>48</v>
      </c>
      <c r="B70" s="13">
        <f>(B18/B24)*100</f>
        <v>84.016871202669478</v>
      </c>
      <c r="C70" s="13"/>
      <c r="D70" s="13"/>
    </row>
    <row r="71" spans="1:4" ht="15.75" thickBot="1" x14ac:dyDescent="0.3">
      <c r="A71" s="16"/>
      <c r="B71" s="16"/>
      <c r="C71" s="16"/>
      <c r="D71" s="16"/>
    </row>
    <row r="72" spans="1:4" ht="15.75" thickTop="1" x14ac:dyDescent="0.25"/>
    <row r="73" spans="1:4" x14ac:dyDescent="0.25">
      <c r="A73" t="s">
        <v>49</v>
      </c>
    </row>
    <row r="74" spans="1:4" x14ac:dyDescent="0.25">
      <c r="A74" t="s">
        <v>139</v>
      </c>
    </row>
    <row r="75" spans="1:4" x14ac:dyDescent="0.25">
      <c r="A75" t="s">
        <v>50</v>
      </c>
      <c r="B75" s="5"/>
      <c r="C75" s="5"/>
      <c r="D75" s="5"/>
    </row>
    <row r="76" spans="1:4" x14ac:dyDescent="0.25">
      <c r="A76" t="s">
        <v>138</v>
      </c>
    </row>
    <row r="78" spans="1:4" x14ac:dyDescent="0.25">
      <c r="A78" t="s">
        <v>130</v>
      </c>
    </row>
    <row r="79" spans="1:4" x14ac:dyDescent="0.25">
      <c r="A79" s="20" t="s">
        <v>140</v>
      </c>
    </row>
    <row r="80" spans="1:4" x14ac:dyDescent="0.25">
      <c r="A80" s="21" t="s">
        <v>131</v>
      </c>
    </row>
    <row r="81" spans="1:1" x14ac:dyDescent="0.25">
      <c r="A81" s="21" t="s">
        <v>132</v>
      </c>
    </row>
    <row r="82" spans="1:1" x14ac:dyDescent="0.25">
      <c r="A82" s="21" t="s">
        <v>142</v>
      </c>
    </row>
  </sheetData>
  <mergeCells count="2">
    <mergeCell ref="A2:D2"/>
    <mergeCell ref="A4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B58" workbookViewId="0">
      <selection activeCell="C67" sqref="C67"/>
    </sheetView>
  </sheetViews>
  <sheetFormatPr baseColWidth="10" defaultRowHeight="15" x14ac:dyDescent="0.2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4" ht="15.75" x14ac:dyDescent="0.25">
      <c r="A2" s="39" t="s">
        <v>143</v>
      </c>
      <c r="B2" s="39"/>
      <c r="C2" s="39"/>
      <c r="D2" s="39"/>
    </row>
    <row r="4" spans="1:4" x14ac:dyDescent="0.25">
      <c r="A4" s="40" t="s">
        <v>0</v>
      </c>
      <c r="B4" s="1" t="s">
        <v>1</v>
      </c>
      <c r="C4" s="18" t="s">
        <v>2</v>
      </c>
      <c r="D4" s="1" t="s">
        <v>5</v>
      </c>
    </row>
    <row r="5" spans="1:4" ht="15.75" thickBot="1" x14ac:dyDescent="0.3">
      <c r="A5" s="41"/>
      <c r="B5" s="2" t="s">
        <v>3</v>
      </c>
      <c r="C5" s="2" t="s">
        <v>4</v>
      </c>
      <c r="D5" s="2" t="s">
        <v>137</v>
      </c>
    </row>
    <row r="6" spans="1:4" ht="15.75" thickTop="1" x14ac:dyDescent="0.25"/>
    <row r="7" spans="1:4" x14ac:dyDescent="0.25">
      <c r="A7" s="3" t="s">
        <v>6</v>
      </c>
    </row>
    <row r="9" spans="1:4" x14ac:dyDescent="0.25">
      <c r="A9" t="s">
        <v>7</v>
      </c>
    </row>
    <row r="10" spans="1:4" x14ac:dyDescent="0.25">
      <c r="A10" s="4" t="s">
        <v>103</v>
      </c>
      <c r="B10" s="7">
        <f>C10</f>
        <v>138.66666666666666</v>
      </c>
      <c r="C10" s="7">
        <f>('I Trimestre'!C10+'II Trimestre'!C10+'III Trimestre'!C10)/3</f>
        <v>138.66666666666666</v>
      </c>
      <c r="D10" s="5"/>
    </row>
    <row r="11" spans="1:4" x14ac:dyDescent="0.25">
      <c r="A11" s="4" t="s">
        <v>104</v>
      </c>
      <c r="B11" s="7">
        <f>C11</f>
        <v>350</v>
      </c>
      <c r="C11" s="7">
        <f>('I Trimestre'!C11+'II Trimestre'!C11+'III Trimestre'!C11)/3</f>
        <v>350</v>
      </c>
      <c r="D11" s="5"/>
    </row>
    <row r="12" spans="1:4" x14ac:dyDescent="0.25">
      <c r="A12" s="4" t="s">
        <v>105</v>
      </c>
      <c r="B12" s="7">
        <f>C12</f>
        <v>171.66666666666666</v>
      </c>
      <c r="C12" s="7">
        <f>('I Trimestre'!C12+'II Trimestre'!C12+'III Trimestre'!C12)/3</f>
        <v>171.66666666666666</v>
      </c>
      <c r="D12" s="5"/>
    </row>
    <row r="13" spans="1:4" x14ac:dyDescent="0.25">
      <c r="A13" s="4" t="s">
        <v>11</v>
      </c>
      <c r="B13" s="7">
        <f>C13</f>
        <v>350</v>
      </c>
      <c r="C13" s="7">
        <f>('I Trimestre'!C13+'II Trimestre'!C13+'III Trimestre'!C13)/3</f>
        <v>350</v>
      </c>
      <c r="D13" s="5"/>
    </row>
    <row r="14" spans="1:4" x14ac:dyDescent="0.25">
      <c r="B14" s="5"/>
      <c r="C14" s="5"/>
      <c r="D14" s="5"/>
    </row>
    <row r="15" spans="1:4" x14ac:dyDescent="0.25">
      <c r="A15" s="6" t="s">
        <v>12</v>
      </c>
      <c r="B15" s="5"/>
      <c r="C15" s="5"/>
      <c r="D15" s="5"/>
    </row>
    <row r="16" spans="1:4" x14ac:dyDescent="0.25">
      <c r="A16" s="4" t="s">
        <v>106</v>
      </c>
      <c r="B16" s="9">
        <f>SUM(C16:D16)</f>
        <v>1411894692.98</v>
      </c>
      <c r="C16" s="9">
        <f>'I Trimestre'!C16+'II Trimestre'!C16+'III Trimestre'!C16</f>
        <v>409144692.98000002</v>
      </c>
      <c r="D16" s="9">
        <f>'I Trimestre'!D16+'II Trimestre'!D16+'III Trimestre'!D16</f>
        <v>1002750000</v>
      </c>
    </row>
    <row r="17" spans="1:4" x14ac:dyDescent="0.25">
      <c r="A17" s="4" t="s">
        <v>107</v>
      </c>
      <c r="B17" s="7">
        <f>SUM(C17:D17)</f>
        <v>737710227</v>
      </c>
      <c r="C17" s="7">
        <f>'I Trimestre'!C17+'II Trimestre'!C17+'III Trimestre'!C17</f>
        <v>580210227</v>
      </c>
      <c r="D17" s="7">
        <f>'I Trimestre'!D17+'II Trimestre'!D17+'III Trimestre'!D17</f>
        <v>157500000</v>
      </c>
    </row>
    <row r="18" spans="1:4" x14ac:dyDescent="0.25">
      <c r="A18" s="4" t="s">
        <v>108</v>
      </c>
      <c r="B18" s="9">
        <f>SUM(C18:D18)</f>
        <v>599942870.5</v>
      </c>
      <c r="C18" s="7">
        <f>'I Trimestre'!C18+'II Trimestre'!C18+'III Trimestre'!C18</f>
        <v>587757870.5</v>
      </c>
      <c r="D18" s="7">
        <f>'I Trimestre'!D18+'II Trimestre'!D18+'III Trimestre'!D18</f>
        <v>12185000</v>
      </c>
    </row>
    <row r="19" spans="1:4" x14ac:dyDescent="0.25">
      <c r="A19" s="4" t="s">
        <v>11</v>
      </c>
      <c r="B19" s="7">
        <v>983613636</v>
      </c>
      <c r="C19" s="7">
        <v>773613636</v>
      </c>
      <c r="D19" s="7">
        <f>150000000+60000000</f>
        <v>210000000</v>
      </c>
    </row>
    <row r="20" spans="1:4" x14ac:dyDescent="0.25">
      <c r="A20" s="4" t="s">
        <v>109</v>
      </c>
      <c r="B20" s="7">
        <f>C20</f>
        <v>587757870.5</v>
      </c>
      <c r="C20" s="7">
        <f>C18</f>
        <v>587757870.5</v>
      </c>
      <c r="D20" s="7"/>
    </row>
    <row r="21" spans="1:4" x14ac:dyDescent="0.25">
      <c r="B21" s="7"/>
      <c r="C21" s="7"/>
      <c r="D21" s="7"/>
    </row>
    <row r="22" spans="1:4" x14ac:dyDescent="0.25">
      <c r="A22" s="8" t="s">
        <v>17</v>
      </c>
      <c r="B22" s="9"/>
      <c r="C22" s="9"/>
      <c r="D22" s="9"/>
    </row>
    <row r="23" spans="1:4" x14ac:dyDescent="0.25">
      <c r="A23" s="10" t="s">
        <v>104</v>
      </c>
      <c r="B23" s="9">
        <f>B17</f>
        <v>737710227</v>
      </c>
      <c r="C23" s="9"/>
      <c r="D23" s="9"/>
    </row>
    <row r="24" spans="1:4" x14ac:dyDescent="0.25">
      <c r="A24" s="10" t="s">
        <v>105</v>
      </c>
      <c r="B24" s="7">
        <f>'I Trimestre'!B24+'II Trimestre'!B24+'III Trimestre'!B24</f>
        <v>678331519.57000005</v>
      </c>
      <c r="C24" s="9"/>
      <c r="D24" s="9"/>
    </row>
    <row r="25" spans="1:4" x14ac:dyDescent="0.25">
      <c r="A25" s="11"/>
      <c r="B25" s="11"/>
      <c r="C25" s="11"/>
      <c r="D25" s="11"/>
    </row>
    <row r="26" spans="1:4" x14ac:dyDescent="0.25">
      <c r="A26" s="11" t="s">
        <v>18</v>
      </c>
      <c r="B26" s="11"/>
      <c r="C26" s="11"/>
      <c r="D26" s="11"/>
    </row>
    <row r="27" spans="1:4" x14ac:dyDescent="0.25">
      <c r="A27" s="10" t="s">
        <v>110</v>
      </c>
      <c r="B27" s="17">
        <v>1.3931300646666669</v>
      </c>
      <c r="C27" s="17">
        <v>1.3931300646666669</v>
      </c>
      <c r="D27" s="17">
        <v>1.3931300646666669</v>
      </c>
    </row>
    <row r="28" spans="1:4" x14ac:dyDescent="0.25">
      <c r="A28" s="10" t="s">
        <v>111</v>
      </c>
      <c r="B28" s="17">
        <v>1.4617491794222224</v>
      </c>
      <c r="C28" s="17">
        <v>1.4617491794222224</v>
      </c>
      <c r="D28" s="17">
        <v>1.4617491794222224</v>
      </c>
    </row>
    <row r="29" spans="1:4" x14ac:dyDescent="0.25">
      <c r="A29" s="10" t="s">
        <v>21</v>
      </c>
      <c r="B29" s="9">
        <v>642</v>
      </c>
      <c r="C29" s="9">
        <v>642</v>
      </c>
      <c r="D29" s="9">
        <v>642</v>
      </c>
    </row>
    <row r="30" spans="1:4" x14ac:dyDescent="0.25">
      <c r="A30" s="11"/>
      <c r="B30" s="11"/>
      <c r="C30" s="11"/>
      <c r="D30" s="11"/>
    </row>
    <row r="31" spans="1:4" x14ac:dyDescent="0.25">
      <c r="A31" s="12" t="s">
        <v>22</v>
      </c>
      <c r="B31" s="11"/>
      <c r="C31" s="11"/>
      <c r="D31" s="11"/>
    </row>
    <row r="32" spans="1:4" x14ac:dyDescent="0.25">
      <c r="A32" s="11" t="s">
        <v>112</v>
      </c>
      <c r="B32" s="9">
        <f>B16/B27</f>
        <v>1013469401.5937579</v>
      </c>
      <c r="C32" s="9">
        <f>C16/C27</f>
        <v>293687361.54430473</v>
      </c>
      <c r="D32" s="9">
        <f>D16/D27</f>
        <v>719782040.04945314</v>
      </c>
    </row>
    <row r="33" spans="1:8" x14ac:dyDescent="0.25">
      <c r="A33" s="11" t="s">
        <v>113</v>
      </c>
      <c r="B33" s="9">
        <f>B18/B28</f>
        <v>410428053.5578177</v>
      </c>
      <c r="C33" s="9">
        <f>C18/C28</f>
        <v>402092150.12682259</v>
      </c>
      <c r="D33" s="9">
        <f>D18/D28</f>
        <v>8335903.4309951169</v>
      </c>
    </row>
    <row r="34" spans="1:8" x14ac:dyDescent="0.25">
      <c r="A34" s="11" t="s">
        <v>114</v>
      </c>
      <c r="B34" s="9">
        <f>B32/B10</f>
        <v>7308673.5691857543</v>
      </c>
      <c r="C34" s="9">
        <f t="shared" ref="C34" si="0">C32/C10</f>
        <v>2117937.7034445056</v>
      </c>
      <c r="D34" s="9"/>
    </row>
    <row r="35" spans="1:8" x14ac:dyDescent="0.25">
      <c r="A35" s="11" t="s">
        <v>115</v>
      </c>
      <c r="B35" s="9">
        <f>B33/B12</f>
        <v>2390843.0304338895</v>
      </c>
      <c r="C35" s="9">
        <f>C33/C12</f>
        <v>2342284.3696708111</v>
      </c>
      <c r="D35" s="9"/>
    </row>
    <row r="37" spans="1:8" x14ac:dyDescent="0.25">
      <c r="A37" s="3" t="s">
        <v>27</v>
      </c>
    </row>
    <row r="39" spans="1:8" x14ac:dyDescent="0.25">
      <c r="A39" t="s">
        <v>28</v>
      </c>
    </row>
    <row r="40" spans="1:8" x14ac:dyDescent="0.25">
      <c r="A40" t="s">
        <v>29</v>
      </c>
      <c r="B40" s="15">
        <f>(B11*100)/(B29)</f>
        <v>54.517133956386296</v>
      </c>
      <c r="C40" s="15">
        <f>(C11*100)/(C29)</f>
        <v>54.517133956386296</v>
      </c>
      <c r="D40" s="13"/>
      <c r="E40" s="11"/>
      <c r="F40" s="11"/>
      <c r="G40" s="11"/>
      <c r="H40" s="11"/>
    </row>
    <row r="41" spans="1:8" x14ac:dyDescent="0.25">
      <c r="A41" t="s">
        <v>30</v>
      </c>
      <c r="B41" s="15">
        <f>(B12*100)/(B29)</f>
        <v>26.73935617860851</v>
      </c>
      <c r="C41" s="15">
        <f>(C12*100)/(C29)</f>
        <v>26.73935617860851</v>
      </c>
      <c r="D41" s="13"/>
    </row>
    <row r="43" spans="1:8" x14ac:dyDescent="0.25">
      <c r="A43" t="s">
        <v>31</v>
      </c>
    </row>
    <row r="44" spans="1:8" x14ac:dyDescent="0.25">
      <c r="A44" t="s">
        <v>32</v>
      </c>
      <c r="B44" s="14">
        <f>B12/B11*100</f>
        <v>49.047619047619044</v>
      </c>
      <c r="C44" s="14">
        <f>C12/C11*100</f>
        <v>49.047619047619044</v>
      </c>
      <c r="D44" s="14"/>
    </row>
    <row r="45" spans="1:8" x14ac:dyDescent="0.25">
      <c r="A45" t="s">
        <v>33</v>
      </c>
      <c r="B45" s="14">
        <f>B18/B17*100</f>
        <v>81.325003848699524</v>
      </c>
      <c r="C45" s="14">
        <f>C18/C17*100</f>
        <v>101.30084633961476</v>
      </c>
      <c r="D45" s="14">
        <f>D18/D17*100</f>
        <v>7.7365079365079357</v>
      </c>
    </row>
    <row r="46" spans="1:8" x14ac:dyDescent="0.25">
      <c r="A46" s="11" t="s">
        <v>34</v>
      </c>
      <c r="B46" s="13">
        <f>AVERAGE(B44:B45)</f>
        <v>65.186311448159287</v>
      </c>
      <c r="C46" s="13">
        <f>AVERAGE(C44:C45)</f>
        <v>75.174232693616901</v>
      </c>
      <c r="D46" s="13"/>
    </row>
    <row r="47" spans="1:8" x14ac:dyDescent="0.25">
      <c r="A47" s="11"/>
      <c r="B47" s="13"/>
      <c r="C47" s="13"/>
      <c r="D47" s="13"/>
    </row>
    <row r="48" spans="1:8" x14ac:dyDescent="0.25">
      <c r="A48" s="11" t="s">
        <v>35</v>
      </c>
      <c r="B48" s="11"/>
      <c r="C48" s="11"/>
      <c r="D48" s="11"/>
    </row>
    <row r="49" spans="1:4" x14ac:dyDescent="0.25">
      <c r="A49" s="11" t="s">
        <v>36</v>
      </c>
      <c r="B49" s="13">
        <f>B12/(B13*4/3)*100</f>
        <v>36.785714285714285</v>
      </c>
      <c r="C49" s="13">
        <f>C12/(C13*4/3)*100</f>
        <v>36.785714285714285</v>
      </c>
      <c r="D49" s="13"/>
    </row>
    <row r="50" spans="1:4" x14ac:dyDescent="0.25">
      <c r="A50" s="11" t="s">
        <v>37</v>
      </c>
      <c r="B50" s="13">
        <f>B18/B19*100</f>
        <v>60.993752886524646</v>
      </c>
      <c r="C50" s="13">
        <f>C18/C19*100</f>
        <v>75.975634754711081</v>
      </c>
      <c r="D50" s="13">
        <f>D18/D19*100</f>
        <v>5.8023809523809522</v>
      </c>
    </row>
    <row r="51" spans="1:4" x14ac:dyDescent="0.25">
      <c r="A51" s="11" t="s">
        <v>38</v>
      </c>
      <c r="B51" s="13">
        <f>(B49+B50)/2</f>
        <v>48.889733586119462</v>
      </c>
      <c r="C51" s="13">
        <f>(C49+C50)/2</f>
        <v>56.380674520212679</v>
      </c>
      <c r="D51" s="13"/>
    </row>
    <row r="52" spans="1:4" x14ac:dyDescent="0.25">
      <c r="A52" s="11"/>
      <c r="B52" s="11"/>
      <c r="C52" s="11"/>
      <c r="D52" s="11"/>
    </row>
    <row r="53" spans="1:4" x14ac:dyDescent="0.25">
      <c r="A53" s="11" t="s">
        <v>129</v>
      </c>
      <c r="B53" s="11"/>
      <c r="C53" s="11"/>
      <c r="D53" s="11"/>
    </row>
    <row r="54" spans="1:4" x14ac:dyDescent="0.25">
      <c r="A54" s="11" t="s">
        <v>39</v>
      </c>
      <c r="B54" s="15">
        <f>(B20/B18)*100</f>
        <v>97.96897328076507</v>
      </c>
      <c r="C54" s="13"/>
      <c r="D54" s="13"/>
    </row>
    <row r="55" spans="1:4" x14ac:dyDescent="0.25">
      <c r="A55" s="11"/>
      <c r="B55" s="11"/>
      <c r="C55" s="11"/>
      <c r="D55" s="11"/>
    </row>
    <row r="56" spans="1:4" x14ac:dyDescent="0.25">
      <c r="A56" s="11" t="s">
        <v>40</v>
      </c>
      <c r="B56" s="11"/>
      <c r="C56" s="11"/>
      <c r="D56" s="11"/>
    </row>
    <row r="57" spans="1:4" x14ac:dyDescent="0.25">
      <c r="A57" s="11" t="s">
        <v>41</v>
      </c>
      <c r="B57" s="14">
        <f>((B12/B10)-1)*100</f>
        <v>23.798076923076916</v>
      </c>
      <c r="C57" s="14"/>
      <c r="D57" s="13"/>
    </row>
    <row r="58" spans="1:4" x14ac:dyDescent="0.25">
      <c r="A58" s="11" t="s">
        <v>42</v>
      </c>
      <c r="B58" s="14">
        <f>((B33/B32)-1)*100</f>
        <v>-59.502669452833182</v>
      </c>
      <c r="C58" s="14">
        <f>((C33/C32)-1)*100</f>
        <v>36.911628751230509</v>
      </c>
      <c r="D58" s="14">
        <f>((D33/D32)-1)*100</f>
        <v>-98.841885047531548</v>
      </c>
    </row>
    <row r="59" spans="1:4" x14ac:dyDescent="0.25">
      <c r="A59" s="11" t="s">
        <v>43</v>
      </c>
      <c r="B59" s="14">
        <f>((B35/B34)-1)*100</f>
        <v>-67.28759318908466</v>
      </c>
      <c r="C59" s="14">
        <f>((C35/C34)-1)*100</f>
        <v>10.592694292256066</v>
      </c>
      <c r="D59" s="13"/>
    </row>
    <row r="60" spans="1:4" x14ac:dyDescent="0.25">
      <c r="A60" s="11"/>
      <c r="B60" s="13"/>
      <c r="C60" s="13"/>
      <c r="D60" s="13"/>
    </row>
    <row r="61" spans="1:4" x14ac:dyDescent="0.25">
      <c r="A61" s="11" t="s">
        <v>44</v>
      </c>
      <c r="B61" s="11"/>
      <c r="C61" s="11"/>
      <c r="D61" s="11"/>
    </row>
    <row r="62" spans="1:4" x14ac:dyDescent="0.25">
      <c r="A62" t="s">
        <v>133</v>
      </c>
      <c r="B62" s="9">
        <f>B17/(B11*9)</f>
        <v>234193.72285714286</v>
      </c>
      <c r="C62" s="9">
        <f>C17/(C11*9)</f>
        <v>184193.72285714286</v>
      </c>
      <c r="D62" s="9"/>
    </row>
    <row r="63" spans="1:4" x14ac:dyDescent="0.25">
      <c r="A63" t="s">
        <v>134</v>
      </c>
      <c r="B63" s="9">
        <f>B18/(B12*9)</f>
        <v>388312.53754045308</v>
      </c>
      <c r="C63" s="9">
        <f>C18/(C12*9)</f>
        <v>380425.8061488673</v>
      </c>
      <c r="D63" s="9"/>
    </row>
    <row r="64" spans="1:4" x14ac:dyDescent="0.25">
      <c r="A64" s="11" t="s">
        <v>45</v>
      </c>
      <c r="B64" s="9">
        <f>(B62/B63)*B46</f>
        <v>39.314272606454871</v>
      </c>
      <c r="C64" s="9">
        <f>(C62/C63)*C46</f>
        <v>36.397693213661782</v>
      </c>
      <c r="D64" s="13"/>
    </row>
    <row r="65" spans="1:4" x14ac:dyDescent="0.25">
      <c r="A65" s="13" t="s">
        <v>153</v>
      </c>
      <c r="B65" s="9">
        <f>B17/(B11*3)</f>
        <v>702581.16857142863</v>
      </c>
      <c r="C65" s="9">
        <f>C17/(C11*3)</f>
        <v>552581.16857142863</v>
      </c>
      <c r="D65" s="13"/>
    </row>
    <row r="66" spans="1:4" x14ac:dyDescent="0.25">
      <c r="A66" s="13" t="s">
        <v>152</v>
      </c>
      <c r="B66" s="9">
        <f>B18/(B12*3)</f>
        <v>1164937.6126213593</v>
      </c>
      <c r="C66" s="9">
        <f>C18/(C12*3)</f>
        <v>1141277.4184466018</v>
      </c>
      <c r="D66" s="13"/>
    </row>
    <row r="67" spans="1:4" x14ac:dyDescent="0.25">
      <c r="B67" s="9"/>
      <c r="C67" s="9"/>
      <c r="D67" s="14"/>
    </row>
    <row r="68" spans="1:4" x14ac:dyDescent="0.25">
      <c r="A68" t="s">
        <v>46</v>
      </c>
      <c r="B68" s="14"/>
      <c r="C68" s="14"/>
      <c r="D68" s="14"/>
    </row>
    <row r="69" spans="1:4" x14ac:dyDescent="0.25">
      <c r="A69" s="11" t="s">
        <v>47</v>
      </c>
      <c r="B69" s="13">
        <f>(B24/B23)*100</f>
        <v>91.950944251990165</v>
      </c>
      <c r="C69" s="13"/>
      <c r="D69" s="13"/>
    </row>
    <row r="70" spans="1:4" x14ac:dyDescent="0.25">
      <c r="A70" s="11" t="s">
        <v>48</v>
      </c>
      <c r="B70" s="13">
        <f>(B18/B24)*100</f>
        <v>88.443902898734336</v>
      </c>
      <c r="C70" s="13"/>
      <c r="D70" s="13"/>
    </row>
    <row r="71" spans="1:4" ht="15.75" thickBot="1" x14ac:dyDescent="0.3">
      <c r="A71" s="16"/>
      <c r="B71" s="16"/>
      <c r="C71" s="16"/>
      <c r="D71" s="16"/>
    </row>
    <row r="72" spans="1:4" ht="15.75" thickTop="1" x14ac:dyDescent="0.25"/>
    <row r="73" spans="1:4" x14ac:dyDescent="0.25">
      <c r="A73" t="s">
        <v>49</v>
      </c>
    </row>
    <row r="74" spans="1:4" x14ac:dyDescent="0.25">
      <c r="A74" t="s">
        <v>139</v>
      </c>
    </row>
    <row r="75" spans="1:4" x14ac:dyDescent="0.25">
      <c r="A75" t="s">
        <v>50</v>
      </c>
      <c r="B75" s="5"/>
      <c r="C75" s="5"/>
      <c r="D75" s="5"/>
    </row>
    <row r="76" spans="1:4" x14ac:dyDescent="0.25">
      <c r="A76" t="s">
        <v>138</v>
      </c>
    </row>
    <row r="78" spans="1:4" x14ac:dyDescent="0.25">
      <c r="A78" t="s">
        <v>130</v>
      </c>
    </row>
    <row r="79" spans="1:4" x14ac:dyDescent="0.25">
      <c r="A79" s="20" t="s">
        <v>140</v>
      </c>
    </row>
    <row r="80" spans="1:4" x14ac:dyDescent="0.25">
      <c r="A80" s="21" t="s">
        <v>131</v>
      </c>
    </row>
    <row r="81" spans="1:1" x14ac:dyDescent="0.25">
      <c r="A81" s="21" t="s">
        <v>132</v>
      </c>
    </row>
    <row r="82" spans="1:1" x14ac:dyDescent="0.25">
      <c r="A82" s="21" t="s">
        <v>142</v>
      </c>
    </row>
  </sheetData>
  <mergeCells count="2">
    <mergeCell ref="A2:D2"/>
    <mergeCell ref="A4:A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abSelected="1" workbookViewId="0">
      <selection activeCell="K8" sqref="K8"/>
    </sheetView>
  </sheetViews>
  <sheetFormatPr baseColWidth="10" defaultRowHeight="15" x14ac:dyDescent="0.25"/>
  <cols>
    <col min="1" max="1" width="55.140625" style="22" customWidth="1"/>
    <col min="2" max="2" width="16.140625" style="22" customWidth="1"/>
    <col min="3" max="3" width="15.5703125" style="22" customWidth="1"/>
    <col min="4" max="4" width="14.5703125" style="22" customWidth="1"/>
    <col min="5" max="5" width="16.85546875" style="22" bestFit="1" customWidth="1"/>
    <col min="6" max="16384" width="11.42578125" style="22"/>
  </cols>
  <sheetData>
    <row r="2" spans="1:6" ht="15.75" x14ac:dyDescent="0.25">
      <c r="A2" s="36" t="s">
        <v>156</v>
      </c>
      <c r="B2" s="36"/>
      <c r="C2" s="36"/>
      <c r="D2" s="36"/>
    </row>
    <row r="4" spans="1:6" x14ac:dyDescent="0.25">
      <c r="A4" s="37" t="s">
        <v>0</v>
      </c>
      <c r="B4" s="42" t="s">
        <v>141</v>
      </c>
      <c r="C4" s="23" t="s">
        <v>2</v>
      </c>
      <c r="D4" s="24" t="s">
        <v>5</v>
      </c>
    </row>
    <row r="5" spans="1:6" ht="15.75" thickBot="1" x14ac:dyDescent="0.3">
      <c r="A5" s="38"/>
      <c r="B5" s="43"/>
      <c r="C5" s="25" t="s">
        <v>4</v>
      </c>
      <c r="D5" s="25" t="s">
        <v>137</v>
      </c>
    </row>
    <row r="6" spans="1:6" ht="15.75" thickTop="1" x14ac:dyDescent="0.25"/>
    <row r="7" spans="1:6" x14ac:dyDescent="0.25">
      <c r="A7" s="26" t="s">
        <v>6</v>
      </c>
    </row>
    <row r="9" spans="1:6" x14ac:dyDescent="0.25">
      <c r="A9" s="22" t="s">
        <v>7</v>
      </c>
    </row>
    <row r="10" spans="1:6" x14ac:dyDescent="0.25">
      <c r="A10" s="27" t="s">
        <v>90</v>
      </c>
      <c r="B10" s="22">
        <f>C10</f>
        <v>143.75</v>
      </c>
      <c r="C10" s="22">
        <f>('I Trimestre'!C10+'II Trimestre'!C10+'III Trimestre'!C10+'IV Trimestre'!C10)/4</f>
        <v>143.75</v>
      </c>
    </row>
    <row r="11" spans="1:6" x14ac:dyDescent="0.25">
      <c r="A11" s="27" t="s">
        <v>91</v>
      </c>
      <c r="B11" s="22">
        <f>C11</f>
        <v>350</v>
      </c>
      <c r="C11" s="22">
        <f>('I Trimestre'!C11+'II Trimestre'!C11+'III Trimestre'!C11+'IV Trimestre'!C11)/4</f>
        <v>350</v>
      </c>
    </row>
    <row r="12" spans="1:6" x14ac:dyDescent="0.25">
      <c r="A12" s="27" t="s">
        <v>92</v>
      </c>
      <c r="B12" s="22">
        <f>C12</f>
        <v>180.75</v>
      </c>
      <c r="C12" s="22">
        <f>('I Trimestre'!C12+'II Trimestre'!C12+'III Trimestre'!C12+'IV Trimestre'!C12)/4</f>
        <v>180.75</v>
      </c>
    </row>
    <row r="13" spans="1:6" x14ac:dyDescent="0.25">
      <c r="A13" s="27" t="s">
        <v>11</v>
      </c>
      <c r="B13" s="22">
        <f>C13</f>
        <v>350</v>
      </c>
      <c r="C13" s="22">
        <f>('I Trimestre'!C13+'II Trimestre'!C13+'III Trimestre'!C13+'IV Trimestre'!C13)/4</f>
        <v>350</v>
      </c>
    </row>
    <row r="15" spans="1:6" x14ac:dyDescent="0.25">
      <c r="A15" s="28" t="s">
        <v>12</v>
      </c>
    </row>
    <row r="16" spans="1:6" x14ac:dyDescent="0.25">
      <c r="A16" s="27" t="s">
        <v>93</v>
      </c>
      <c r="B16" s="29">
        <f>SUM(C16:D16)</f>
        <v>1932427052.3800001</v>
      </c>
      <c r="C16" s="29">
        <f>'I Trimestre'!C16+'II Trimestre'!C16+'III Trimestre'!C16+'IV Trimestre'!C16</f>
        <v>595427052.38</v>
      </c>
      <c r="D16" s="29">
        <f>'I Trimestre'!D16+'II Trimestre'!D16+'III Trimestre'!D16+'IV Trimestre'!D16</f>
        <v>1337000000</v>
      </c>
      <c r="E16" s="19"/>
      <c r="F16" s="19"/>
    </row>
    <row r="17" spans="1:4" x14ac:dyDescent="0.25">
      <c r="A17" s="27" t="s">
        <v>94</v>
      </c>
      <c r="B17" s="22">
        <f>SUM(C17:D17)</f>
        <v>983613636</v>
      </c>
      <c r="C17" s="22">
        <f>'I Trimestre'!C17+'II Trimestre'!C17+'III Trimestre'!C17+'IV Trimestre'!C17</f>
        <v>773613636</v>
      </c>
      <c r="D17" s="22">
        <f>'I Trimestre'!D17+'II Trimestre'!D17+'III Trimestre'!D17+'IV Trimestre'!D17</f>
        <v>210000000</v>
      </c>
    </row>
    <row r="18" spans="1:4" x14ac:dyDescent="0.25">
      <c r="A18" s="27" t="s">
        <v>95</v>
      </c>
      <c r="B18" s="29">
        <f>SUM(C18:D18)</f>
        <v>1041998103.5</v>
      </c>
      <c r="C18" s="22">
        <f>'I Trimestre'!C18+'II Trimestre'!C18+'III Trimestre'!C18+'IV Trimestre'!C18</f>
        <v>892325653.5</v>
      </c>
      <c r="D18" s="22">
        <f>'I Trimestre'!D18+'II Trimestre'!D18+'III Trimestre'!D18+'IV Trimestre'!D18</f>
        <v>149672450</v>
      </c>
    </row>
    <row r="19" spans="1:4" x14ac:dyDescent="0.25">
      <c r="A19" s="27" t="s">
        <v>11</v>
      </c>
      <c r="B19" s="22">
        <v>983613636</v>
      </c>
      <c r="C19" s="22">
        <v>773613636</v>
      </c>
      <c r="D19" s="22">
        <f>150000000+60000000</f>
        <v>210000000</v>
      </c>
    </row>
    <row r="20" spans="1:4" x14ac:dyDescent="0.25">
      <c r="A20" s="27" t="s">
        <v>96</v>
      </c>
      <c r="B20" s="22">
        <f>C20</f>
        <v>892325653.5</v>
      </c>
      <c r="C20" s="22">
        <f>C18</f>
        <v>892325653.5</v>
      </c>
    </row>
    <row r="22" spans="1:4" x14ac:dyDescent="0.25">
      <c r="A22" s="30" t="s">
        <v>17</v>
      </c>
      <c r="B22" s="29"/>
      <c r="C22" s="29"/>
      <c r="D22" s="29"/>
    </row>
    <row r="23" spans="1:4" x14ac:dyDescent="0.25">
      <c r="A23" s="31" t="s">
        <v>91</v>
      </c>
      <c r="B23" s="29">
        <f>B17</f>
        <v>983613636</v>
      </c>
      <c r="C23" s="29"/>
      <c r="D23" s="29"/>
    </row>
    <row r="24" spans="1:4" x14ac:dyDescent="0.25">
      <c r="A24" s="31" t="s">
        <v>92</v>
      </c>
      <c r="B24" s="22">
        <f>'I Trimestre'!B24+'II Trimestre'!B24+'III Trimestre'!B24+'IV Trimestre'!B24</f>
        <v>968087941.37</v>
      </c>
      <c r="C24" s="29"/>
      <c r="D24" s="29"/>
    </row>
    <row r="25" spans="1:4" x14ac:dyDescent="0.25">
      <c r="A25" s="29"/>
      <c r="B25" s="29"/>
      <c r="C25" s="29"/>
      <c r="D25" s="29"/>
    </row>
    <row r="26" spans="1:4" x14ac:dyDescent="0.25">
      <c r="A26" s="29" t="s">
        <v>18</v>
      </c>
      <c r="B26" s="29"/>
      <c r="C26" s="29"/>
      <c r="D26" s="29"/>
    </row>
    <row r="27" spans="1:4" x14ac:dyDescent="0.25">
      <c r="A27" s="31" t="s">
        <v>97</v>
      </c>
      <c r="B27" s="29">
        <v>1.4000346908083336</v>
      </c>
      <c r="C27" s="29">
        <v>1.4000346908083336</v>
      </c>
      <c r="D27" s="29">
        <v>1.4000346908083336</v>
      </c>
    </row>
    <row r="28" spans="1:4" x14ac:dyDescent="0.25">
      <c r="A28" s="31" t="s">
        <v>98</v>
      </c>
      <c r="B28" s="29">
        <v>1.4683304717083334</v>
      </c>
      <c r="C28" s="29">
        <v>1.4683304717083334</v>
      </c>
      <c r="D28" s="29">
        <v>1.4683304717083334</v>
      </c>
    </row>
    <row r="29" spans="1:4" x14ac:dyDescent="0.25">
      <c r="A29" s="31" t="s">
        <v>21</v>
      </c>
      <c r="B29" s="29">
        <v>642</v>
      </c>
      <c r="C29" s="29">
        <v>642</v>
      </c>
      <c r="D29" s="29">
        <v>642</v>
      </c>
    </row>
    <row r="30" spans="1:4" x14ac:dyDescent="0.25">
      <c r="A30" s="29"/>
      <c r="B30" s="29"/>
      <c r="C30" s="29"/>
      <c r="D30" s="29"/>
    </row>
    <row r="31" spans="1:4" x14ac:dyDescent="0.25">
      <c r="A31" s="32" t="s">
        <v>22</v>
      </c>
      <c r="B31" s="29"/>
      <c r="C31" s="29"/>
      <c r="D31" s="29"/>
    </row>
    <row r="32" spans="1:4" x14ac:dyDescent="0.25">
      <c r="A32" s="29" t="s">
        <v>99</v>
      </c>
      <c r="B32" s="29">
        <f>B16/B27</f>
        <v>1380270835.4778557</v>
      </c>
      <c r="C32" s="29">
        <f>C16/C27</f>
        <v>425294498.97860754</v>
      </c>
      <c r="D32" s="29">
        <f>D16/D27</f>
        <v>954976336.49924815</v>
      </c>
    </row>
    <row r="33" spans="1:8" x14ac:dyDescent="0.25">
      <c r="A33" s="29" t="s">
        <v>100</v>
      </c>
      <c r="B33" s="29">
        <f>B18/B28</f>
        <v>709648218.55646992</v>
      </c>
      <c r="C33" s="29">
        <f>C18/C28</f>
        <v>607714455.7667737</v>
      </c>
      <c r="D33" s="29">
        <f>D18/D28</f>
        <v>101933762.78969622</v>
      </c>
    </row>
    <row r="34" spans="1:8" x14ac:dyDescent="0.25">
      <c r="A34" s="29" t="s">
        <v>101</v>
      </c>
      <c r="B34" s="29">
        <f>B32/B10</f>
        <v>9601884.0728894304</v>
      </c>
      <c r="C34" s="29">
        <f t="shared" ref="C34" si="0">C32/C10</f>
        <v>2958570.42767727</v>
      </c>
      <c r="D34" s="29"/>
    </row>
    <row r="35" spans="1:8" x14ac:dyDescent="0.25">
      <c r="A35" s="29" t="s">
        <v>102</v>
      </c>
      <c r="B35" s="29">
        <f>B33/B12</f>
        <v>3926131.222995684</v>
      </c>
      <c r="C35" s="29">
        <f>C33/C12</f>
        <v>3362182.3278936306</v>
      </c>
      <c r="D35" s="29"/>
    </row>
    <row r="37" spans="1:8" x14ac:dyDescent="0.25">
      <c r="A37" s="26" t="s">
        <v>27</v>
      </c>
    </row>
    <row r="39" spans="1:8" x14ac:dyDescent="0.25">
      <c r="A39" s="22" t="s">
        <v>28</v>
      </c>
    </row>
    <row r="40" spans="1:8" x14ac:dyDescent="0.25">
      <c r="A40" s="22" t="s">
        <v>29</v>
      </c>
      <c r="B40" s="29">
        <f>(B11*100)/(B29)</f>
        <v>54.517133956386296</v>
      </c>
      <c r="C40" s="29">
        <f>(C11*100)/(C29)</f>
        <v>54.517133956386296</v>
      </c>
      <c r="D40" s="29"/>
      <c r="E40" s="29"/>
      <c r="F40" s="29"/>
      <c r="G40" s="29"/>
      <c r="H40" s="29"/>
    </row>
    <row r="41" spans="1:8" x14ac:dyDescent="0.25">
      <c r="A41" s="22" t="s">
        <v>30</v>
      </c>
      <c r="B41" s="29">
        <f>(B12*100)/(B29)</f>
        <v>28.154205607476637</v>
      </c>
      <c r="C41" s="29">
        <f>(C12*100)/(C29)</f>
        <v>28.154205607476637</v>
      </c>
      <c r="D41" s="29"/>
    </row>
    <row r="43" spans="1:8" x14ac:dyDescent="0.25">
      <c r="A43" s="22" t="s">
        <v>31</v>
      </c>
    </row>
    <row r="44" spans="1:8" x14ac:dyDescent="0.25">
      <c r="A44" s="22" t="s">
        <v>32</v>
      </c>
      <c r="B44" s="22">
        <f>B12/B11*100</f>
        <v>51.642857142857146</v>
      </c>
      <c r="C44" s="22">
        <f>C12/C11*100</f>
        <v>51.642857142857146</v>
      </c>
    </row>
    <row r="45" spans="1:8" x14ac:dyDescent="0.25">
      <c r="A45" s="22" t="s">
        <v>33</v>
      </c>
      <c r="B45" s="22">
        <f>B18/B17*100</f>
        <v>105.93571147889212</v>
      </c>
      <c r="C45" s="22">
        <f>C18/C17*100</f>
        <v>115.34512991702231</v>
      </c>
      <c r="D45" s="22">
        <f>D18/D17*100</f>
        <v>71.272595238095235</v>
      </c>
    </row>
    <row r="46" spans="1:8" x14ac:dyDescent="0.25">
      <c r="A46" s="29" t="s">
        <v>34</v>
      </c>
      <c r="B46" s="29">
        <f>AVERAGE(B44:B45)</f>
        <v>78.789284310874635</v>
      </c>
      <c r="C46" s="29">
        <f>AVERAGE(C44:C45)</f>
        <v>83.493993529939729</v>
      </c>
      <c r="D46" s="29"/>
    </row>
    <row r="47" spans="1:8" x14ac:dyDescent="0.25">
      <c r="A47" s="29"/>
      <c r="B47" s="29"/>
      <c r="C47" s="29"/>
      <c r="D47" s="29"/>
    </row>
    <row r="48" spans="1:8" x14ac:dyDescent="0.25">
      <c r="A48" s="29" t="s">
        <v>35</v>
      </c>
      <c r="B48" s="29"/>
      <c r="C48" s="29"/>
      <c r="D48" s="29"/>
    </row>
    <row r="49" spans="1:4" x14ac:dyDescent="0.25">
      <c r="A49" s="29" t="s">
        <v>36</v>
      </c>
      <c r="B49" s="29">
        <f>B12/(B13)*100</f>
        <v>51.642857142857146</v>
      </c>
      <c r="C49" s="29">
        <f>C12/(C13)*100</f>
        <v>51.642857142857146</v>
      </c>
      <c r="D49" s="29"/>
    </row>
    <row r="50" spans="1:4" x14ac:dyDescent="0.25">
      <c r="A50" s="29" t="s">
        <v>37</v>
      </c>
      <c r="B50" s="29">
        <f>B18/B19*100</f>
        <v>105.93571147889212</v>
      </c>
      <c r="C50" s="29">
        <f>C18/C19*100</f>
        <v>115.34512991702231</v>
      </c>
      <c r="D50" s="29">
        <f>D18/D19*100</f>
        <v>71.272595238095235</v>
      </c>
    </row>
    <row r="51" spans="1:4" x14ac:dyDescent="0.25">
      <c r="A51" s="29" t="s">
        <v>38</v>
      </c>
      <c r="B51" s="29">
        <f>(B49+B50)/2</f>
        <v>78.789284310874635</v>
      </c>
      <c r="C51" s="29">
        <f>(C49+C50)/2</f>
        <v>83.493993529939729</v>
      </c>
      <c r="D51" s="29"/>
    </row>
    <row r="52" spans="1:4" x14ac:dyDescent="0.25">
      <c r="A52" s="29"/>
      <c r="B52" s="29"/>
      <c r="C52" s="29"/>
      <c r="D52" s="29"/>
    </row>
    <row r="53" spans="1:4" x14ac:dyDescent="0.25">
      <c r="A53" s="29" t="s">
        <v>129</v>
      </c>
      <c r="B53" s="29"/>
      <c r="C53" s="29"/>
      <c r="D53" s="29"/>
    </row>
    <row r="54" spans="1:4" x14ac:dyDescent="0.25">
      <c r="A54" s="29" t="s">
        <v>39</v>
      </c>
      <c r="B54" s="29">
        <f>B20/B18*100</f>
        <v>85.636015123515051</v>
      </c>
      <c r="C54" s="29"/>
      <c r="D54" s="29"/>
    </row>
    <row r="55" spans="1:4" x14ac:dyDescent="0.25">
      <c r="A55" s="29"/>
      <c r="B55" s="29"/>
      <c r="C55" s="29"/>
      <c r="D55" s="29"/>
    </row>
    <row r="56" spans="1:4" x14ac:dyDescent="0.25">
      <c r="A56" s="29" t="s">
        <v>40</v>
      </c>
      <c r="B56" s="29"/>
      <c r="C56" s="29"/>
      <c r="D56" s="29"/>
    </row>
    <row r="57" spans="1:4" x14ac:dyDescent="0.25">
      <c r="A57" s="29" t="s">
        <v>41</v>
      </c>
      <c r="B57" s="22">
        <f>((B12/B10)-1)*100</f>
        <v>25.739130434782599</v>
      </c>
      <c r="D57" s="29"/>
    </row>
    <row r="58" spans="1:4" x14ac:dyDescent="0.25">
      <c r="A58" s="29" t="s">
        <v>42</v>
      </c>
      <c r="B58" s="22">
        <f>((B33/B32)-1)*100</f>
        <v>-48.586306374372782</v>
      </c>
      <c r="C58" s="22">
        <f>((C33/C32)-1)*100</f>
        <v>42.89262081364047</v>
      </c>
      <c r="D58" s="22">
        <f>((D33/D32)-1)*100</f>
        <v>-89.32604307627507</v>
      </c>
    </row>
    <row r="59" spans="1:4" x14ac:dyDescent="0.25">
      <c r="A59" s="29" t="s">
        <v>43</v>
      </c>
      <c r="B59" s="22">
        <f>((B35/B34)-1)*100</f>
        <v>-59.110824571596595</v>
      </c>
      <c r="C59" s="22">
        <f>((C35/C34)-1)*100</f>
        <v>13.642125819976858</v>
      </c>
    </row>
    <row r="60" spans="1:4" x14ac:dyDescent="0.25">
      <c r="A60" s="29"/>
      <c r="B60" s="29"/>
      <c r="C60" s="29"/>
      <c r="D60" s="29"/>
    </row>
    <row r="61" spans="1:4" x14ac:dyDescent="0.25">
      <c r="A61" s="29" t="s">
        <v>44</v>
      </c>
      <c r="B61" s="29"/>
      <c r="C61" s="29"/>
      <c r="D61" s="29"/>
    </row>
    <row r="62" spans="1:4" x14ac:dyDescent="0.25">
      <c r="A62" s="22" t="s">
        <v>133</v>
      </c>
      <c r="B62" s="29">
        <f>B17/(B11*12)</f>
        <v>234193.72285714286</v>
      </c>
      <c r="C62" s="29">
        <f>C17/(C11*12)</f>
        <v>184193.72285714286</v>
      </c>
      <c r="D62" s="29"/>
    </row>
    <row r="63" spans="1:4" x14ac:dyDescent="0.25">
      <c r="A63" s="22" t="s">
        <v>134</v>
      </c>
      <c r="B63" s="29">
        <f>B18/(B12*12)</f>
        <v>480404.84255417244</v>
      </c>
      <c r="C63" s="29">
        <f>C18/(C12*12)</f>
        <v>411399.56362378976</v>
      </c>
      <c r="D63" s="29"/>
    </row>
    <row r="64" spans="1:4" x14ac:dyDescent="0.25">
      <c r="A64" s="29" t="s">
        <v>45</v>
      </c>
      <c r="B64" s="29">
        <f>(B62/B63)*B46</f>
        <v>38.40917946603107</v>
      </c>
      <c r="C64" s="29">
        <f>(C62/C63)*C46</f>
        <v>37.382318466806659</v>
      </c>
      <c r="D64" s="29"/>
    </row>
    <row r="65" spans="1:4" x14ac:dyDescent="0.25">
      <c r="A65" s="29" t="s">
        <v>150</v>
      </c>
      <c r="B65" s="29">
        <f>B17/(B11*4)</f>
        <v>702581.16857142863</v>
      </c>
      <c r="C65" s="29">
        <f>C17/(C11*4)</f>
        <v>552581.16857142863</v>
      </c>
      <c r="D65" s="29"/>
    </row>
    <row r="66" spans="1:4" x14ac:dyDescent="0.25">
      <c r="A66" s="29" t="s">
        <v>151</v>
      </c>
      <c r="B66" s="29">
        <f>B18/(B12*4)</f>
        <v>1441214.5276625173</v>
      </c>
      <c r="C66" s="29">
        <f>C18/(C12*4)</f>
        <v>1234198.6908713693</v>
      </c>
      <c r="D66" s="29"/>
    </row>
    <row r="67" spans="1:4" x14ac:dyDescent="0.25">
      <c r="B67" s="29"/>
      <c r="C67" s="29"/>
    </row>
    <row r="68" spans="1:4" x14ac:dyDescent="0.25">
      <c r="A68" s="22" t="s">
        <v>46</v>
      </c>
    </row>
    <row r="69" spans="1:4" x14ac:dyDescent="0.25">
      <c r="A69" s="29" t="s">
        <v>47</v>
      </c>
      <c r="B69" s="29">
        <f>(B24/B23)*100</f>
        <v>98.421565738643338</v>
      </c>
      <c r="C69" s="29"/>
      <c r="D69" s="29"/>
    </row>
    <row r="70" spans="1:4" x14ac:dyDescent="0.25">
      <c r="A70" s="29" t="s">
        <v>48</v>
      </c>
      <c r="B70" s="29">
        <f>(B18/B24)*100</f>
        <v>107.6346537304664</v>
      </c>
      <c r="C70" s="29"/>
      <c r="D70" s="29"/>
    </row>
    <row r="71" spans="1:4" ht="15.75" thickBot="1" x14ac:dyDescent="0.3">
      <c r="A71" s="33"/>
      <c r="B71" s="33"/>
      <c r="C71" s="33"/>
      <c r="D71" s="33"/>
    </row>
    <row r="72" spans="1:4" ht="15.75" thickTop="1" x14ac:dyDescent="0.25"/>
    <row r="73" spans="1:4" x14ac:dyDescent="0.25">
      <c r="A73" s="22" t="s">
        <v>49</v>
      </c>
    </row>
    <row r="74" spans="1:4" x14ac:dyDescent="0.25">
      <c r="A74" s="22" t="s">
        <v>139</v>
      </c>
    </row>
    <row r="75" spans="1:4" x14ac:dyDescent="0.25">
      <c r="A75" s="22" t="s">
        <v>50</v>
      </c>
    </row>
    <row r="76" spans="1:4" x14ac:dyDescent="0.25">
      <c r="A76" s="22" t="s">
        <v>138</v>
      </c>
    </row>
    <row r="78" spans="1:4" x14ac:dyDescent="0.25">
      <c r="A78" s="22" t="s">
        <v>130</v>
      </c>
    </row>
    <row r="79" spans="1:4" x14ac:dyDescent="0.25">
      <c r="A79" s="34" t="s">
        <v>140</v>
      </c>
    </row>
    <row r="80" spans="1:4" x14ac:dyDescent="0.25">
      <c r="A80" s="35" t="s">
        <v>131</v>
      </c>
    </row>
    <row r="81" spans="1:1" x14ac:dyDescent="0.25">
      <c r="A81" s="35" t="s">
        <v>132</v>
      </c>
    </row>
    <row r="82" spans="1:1" x14ac:dyDescent="0.25">
      <c r="A82" s="35" t="s">
        <v>142</v>
      </c>
    </row>
  </sheetData>
  <mergeCells count="3">
    <mergeCell ref="A2:D2"/>
    <mergeCell ref="A4:A5"/>
    <mergeCell ref="B4:B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3 Trimestre Acumulado</vt:lpstr>
      <vt:lpstr>Anual</vt:lpstr>
    </vt:vector>
  </TitlesOfParts>
  <Company>FAM ASTORGA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Horacio Rodriguez</cp:lastModifiedBy>
  <dcterms:created xsi:type="dcterms:W3CDTF">2012-04-21T15:36:23Z</dcterms:created>
  <dcterms:modified xsi:type="dcterms:W3CDTF">2013-10-29T20:08:03Z</dcterms:modified>
</cp:coreProperties>
</file>