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CONAPAM\"/>
    </mc:Choice>
  </mc:AlternateContent>
  <bookViews>
    <workbookView xWindow="0" yWindow="0" windowWidth="21600" windowHeight="9735" tabRatio="72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Tercer trimestre Acumulado" sheetId="7" r:id="rId6"/>
    <sheet name="Anual" sheetId="8" r:id="rId7"/>
    <sheet name="Hoja1" sheetId="9" state="hidden" r:id="rId8"/>
  </sheets>
  <calcPr calcId="152511" concurrentCalc="0"/>
</workbook>
</file>

<file path=xl/calcChain.xml><?xml version="1.0" encoding="utf-8"?>
<calcChain xmlns="http://schemas.openxmlformats.org/spreadsheetml/2006/main">
  <c r="B20" i="4" l="1"/>
  <c r="B20" i="8"/>
  <c r="F11" i="8"/>
  <c r="F12" i="8"/>
  <c r="F18" i="8"/>
  <c r="F66" i="8"/>
  <c r="F17" i="8"/>
  <c r="F65" i="8"/>
  <c r="F63" i="8"/>
  <c r="F44" i="8"/>
  <c r="F45" i="8"/>
  <c r="F46" i="8"/>
  <c r="F62" i="8"/>
  <c r="F64" i="8"/>
  <c r="F33" i="8"/>
  <c r="F35" i="8"/>
  <c r="F59" i="8"/>
  <c r="F58" i="8"/>
  <c r="F57" i="8"/>
  <c r="F49" i="8"/>
  <c r="F19" i="8"/>
  <c r="F50" i="8"/>
  <c r="F51" i="8"/>
  <c r="F34" i="8"/>
  <c r="F32" i="8"/>
  <c r="F66" i="7"/>
  <c r="F65" i="7"/>
  <c r="F64" i="7"/>
  <c r="F63" i="7"/>
  <c r="F62" i="7"/>
  <c r="F59" i="7"/>
  <c r="F58" i="7"/>
  <c r="F57" i="7"/>
  <c r="F51" i="7"/>
  <c r="F50" i="7"/>
  <c r="F49" i="7"/>
  <c r="F46" i="7"/>
  <c r="F45" i="7"/>
  <c r="F44" i="7"/>
  <c r="F35" i="7"/>
  <c r="F34" i="7"/>
  <c r="F33" i="7"/>
  <c r="F32" i="7"/>
  <c r="F66" i="6"/>
  <c r="F65" i="6"/>
  <c r="F64" i="6"/>
  <c r="F63" i="6"/>
  <c r="F62" i="6"/>
  <c r="F59" i="6"/>
  <c r="F58" i="6"/>
  <c r="F57" i="6"/>
  <c r="F51" i="6"/>
  <c r="F50" i="6"/>
  <c r="F49" i="6"/>
  <c r="F46" i="6"/>
  <c r="F45" i="6"/>
  <c r="F44" i="6"/>
  <c r="F35" i="6"/>
  <c r="F34" i="6"/>
  <c r="F33" i="6"/>
  <c r="F32" i="6"/>
  <c r="F20" i="6"/>
  <c r="F66" i="4"/>
  <c r="F65" i="4"/>
  <c r="F63" i="4"/>
  <c r="F44" i="4"/>
  <c r="F45" i="4"/>
  <c r="F46" i="4"/>
  <c r="F62" i="4"/>
  <c r="F64" i="4"/>
  <c r="F33" i="4"/>
  <c r="F35" i="4"/>
  <c r="F59" i="4"/>
  <c r="F58" i="4"/>
  <c r="F57" i="4"/>
  <c r="F49" i="4"/>
  <c r="F50" i="4"/>
  <c r="F51" i="4"/>
  <c r="F34" i="4"/>
  <c r="F32" i="4"/>
  <c r="F20" i="4"/>
  <c r="F66" i="3"/>
  <c r="F65" i="3"/>
  <c r="F64" i="3"/>
  <c r="F63" i="3"/>
  <c r="F62" i="3"/>
  <c r="F59" i="3"/>
  <c r="F58" i="3"/>
  <c r="F57" i="3"/>
  <c r="F51" i="3"/>
  <c r="F50" i="3"/>
  <c r="F49" i="3"/>
  <c r="F46" i="3"/>
  <c r="F45" i="3"/>
  <c r="F44" i="3"/>
  <c r="F35" i="3"/>
  <c r="F34" i="3"/>
  <c r="F33" i="3"/>
  <c r="F32" i="3"/>
  <c r="B20" i="3"/>
  <c r="F20" i="3"/>
  <c r="B20" i="2"/>
  <c r="F20" i="2"/>
  <c r="B20" i="1"/>
  <c r="F20" i="1"/>
  <c r="F66" i="2"/>
  <c r="F65" i="2"/>
  <c r="F63" i="2"/>
  <c r="F62" i="2"/>
  <c r="F57" i="2"/>
  <c r="F50" i="2"/>
  <c r="F51" i="2"/>
  <c r="F49" i="2"/>
  <c r="F45" i="2"/>
  <c r="F44" i="2"/>
  <c r="F46" i="2"/>
  <c r="F35" i="2"/>
  <c r="F33" i="2"/>
  <c r="F32" i="2"/>
  <c r="F58" i="2"/>
  <c r="F66" i="1"/>
  <c r="F65" i="1"/>
  <c r="F63" i="1"/>
  <c r="F62" i="1"/>
  <c r="F57" i="1"/>
  <c r="F50" i="1"/>
  <c r="F49" i="1"/>
  <c r="F51" i="1"/>
  <c r="F46" i="1"/>
  <c r="F45" i="1"/>
  <c r="F44" i="1"/>
  <c r="F34" i="1"/>
  <c r="F33" i="1"/>
  <c r="F35" i="1"/>
  <c r="F32" i="1"/>
  <c r="E17" i="8"/>
  <c r="E11" i="8"/>
  <c r="F34" i="2"/>
  <c r="F59" i="2"/>
  <c r="F64" i="2"/>
  <c r="F59" i="1"/>
  <c r="F58" i="1"/>
  <c r="F64" i="1"/>
  <c r="E20" i="4"/>
  <c r="B11" i="2"/>
  <c r="B12" i="2"/>
  <c r="B13" i="2"/>
  <c r="E20" i="1"/>
  <c r="B11" i="4"/>
  <c r="B12" i="4"/>
  <c r="B13" i="4"/>
  <c r="B10" i="4"/>
  <c r="B10" i="2"/>
  <c r="B18" i="2"/>
  <c r="B18" i="3"/>
  <c r="B18" i="4"/>
  <c r="B18" i="1"/>
  <c r="B16" i="2"/>
  <c r="B16" i="3"/>
  <c r="B16" i="4"/>
  <c r="B16" i="1"/>
  <c r="B49" i="4"/>
  <c r="C49" i="2"/>
  <c r="D49" i="2"/>
  <c r="E49" i="2"/>
  <c r="C49" i="3"/>
  <c r="D49" i="3"/>
  <c r="E49" i="3"/>
  <c r="C49" i="4"/>
  <c r="D49" i="4"/>
  <c r="E49" i="4"/>
  <c r="C49" i="1"/>
  <c r="D49" i="1"/>
  <c r="E49" i="1"/>
  <c r="C45" i="4"/>
  <c r="D45" i="4"/>
  <c r="E45" i="4"/>
  <c r="C44" i="4"/>
  <c r="C46" i="4"/>
  <c r="D44" i="4"/>
  <c r="E44" i="4"/>
  <c r="C57" i="3"/>
  <c r="D57" i="3"/>
  <c r="E57" i="3"/>
  <c r="C50" i="3"/>
  <c r="C51" i="3"/>
  <c r="D50" i="3"/>
  <c r="D51" i="3"/>
  <c r="E50" i="3"/>
  <c r="C45" i="3"/>
  <c r="D45" i="3"/>
  <c r="E45" i="3"/>
  <c r="C44" i="3"/>
  <c r="D44" i="3"/>
  <c r="E44" i="3"/>
  <c r="C33" i="3"/>
  <c r="C35" i="3"/>
  <c r="D33" i="3"/>
  <c r="D35" i="3"/>
  <c r="E33" i="3"/>
  <c r="E35" i="3"/>
  <c r="C32" i="3"/>
  <c r="C34" i="3"/>
  <c r="D32" i="3"/>
  <c r="D34" i="3"/>
  <c r="E32" i="3"/>
  <c r="E34" i="3"/>
  <c r="C66" i="2"/>
  <c r="D66" i="2"/>
  <c r="E66" i="2"/>
  <c r="C65" i="2"/>
  <c r="D65" i="2"/>
  <c r="E65" i="2"/>
  <c r="C62" i="2"/>
  <c r="D62" i="2"/>
  <c r="E62" i="2"/>
  <c r="C57" i="2"/>
  <c r="D57" i="2"/>
  <c r="E57" i="2"/>
  <c r="C50" i="2"/>
  <c r="C51" i="2"/>
  <c r="D50" i="2"/>
  <c r="D51" i="2"/>
  <c r="E50" i="2"/>
  <c r="E51" i="2"/>
  <c r="C45" i="2"/>
  <c r="D45" i="2"/>
  <c r="E45" i="2"/>
  <c r="C44" i="2"/>
  <c r="D44" i="2"/>
  <c r="E44" i="2"/>
  <c r="C66" i="1"/>
  <c r="D66" i="1"/>
  <c r="E66" i="1"/>
  <c r="C65" i="1"/>
  <c r="D65" i="1"/>
  <c r="E65" i="1"/>
  <c r="C62" i="1"/>
  <c r="D62" i="1"/>
  <c r="E62" i="1"/>
  <c r="C57" i="1"/>
  <c r="D57" i="1"/>
  <c r="E57" i="1"/>
  <c r="C50" i="1"/>
  <c r="C51" i="1"/>
  <c r="D50" i="1"/>
  <c r="D51" i="1"/>
  <c r="E50" i="1"/>
  <c r="E51" i="1"/>
  <c r="C45" i="1"/>
  <c r="D45" i="1"/>
  <c r="E45" i="1"/>
  <c r="C44" i="1"/>
  <c r="D44" i="1"/>
  <c r="E44" i="1"/>
  <c r="C33" i="1"/>
  <c r="C35" i="1"/>
  <c r="D33" i="1"/>
  <c r="D35" i="1"/>
  <c r="E33" i="1"/>
  <c r="E35" i="1"/>
  <c r="C32" i="1"/>
  <c r="C34" i="1"/>
  <c r="D32" i="1"/>
  <c r="D34" i="1"/>
  <c r="E32" i="1"/>
  <c r="E34" i="1"/>
  <c r="E46" i="4"/>
  <c r="D46" i="4"/>
  <c r="E46" i="3"/>
  <c r="D46" i="3"/>
  <c r="C46" i="3"/>
  <c r="D46" i="2"/>
  <c r="C46" i="2"/>
  <c r="E46" i="2"/>
  <c r="E46" i="1"/>
  <c r="D46" i="1"/>
  <c r="C46" i="1"/>
  <c r="C59" i="1"/>
  <c r="D59" i="3"/>
  <c r="E59" i="3"/>
  <c r="C59" i="3"/>
  <c r="E59" i="1"/>
  <c r="D59" i="1"/>
  <c r="D58" i="1"/>
  <c r="E58" i="3"/>
  <c r="C58" i="1"/>
  <c r="D58" i="3"/>
  <c r="C58" i="3"/>
  <c r="E58" i="1"/>
  <c r="B19" i="1"/>
  <c r="B50" i="1"/>
  <c r="B17" i="1"/>
  <c r="B19" i="2"/>
  <c r="B17" i="2"/>
  <c r="D20" i="4"/>
  <c r="C20" i="4"/>
  <c r="E12" i="8"/>
  <c r="E10" i="8"/>
  <c r="D12" i="8"/>
  <c r="D11" i="8"/>
  <c r="D10" i="8"/>
  <c r="C12" i="8"/>
  <c r="C11" i="8"/>
  <c r="C10" i="8"/>
  <c r="E12" i="7"/>
  <c r="E11" i="7"/>
  <c r="E10" i="7"/>
  <c r="D12" i="7"/>
  <c r="D11" i="7"/>
  <c r="D10" i="7"/>
  <c r="C12" i="7"/>
  <c r="C11" i="7"/>
  <c r="C10" i="7"/>
  <c r="E12" i="6"/>
  <c r="E11" i="6"/>
  <c r="E10" i="6"/>
  <c r="D12" i="6"/>
  <c r="D11" i="6"/>
  <c r="D10" i="6"/>
  <c r="C12" i="6"/>
  <c r="C11" i="6"/>
  <c r="C10" i="6"/>
  <c r="D20" i="3"/>
  <c r="E20" i="3"/>
  <c r="C20" i="3"/>
  <c r="D20" i="2"/>
  <c r="E20" i="2"/>
  <c r="C20" i="2"/>
  <c r="E66" i="4"/>
  <c r="D66" i="4"/>
  <c r="C66" i="4"/>
  <c r="E65" i="4"/>
  <c r="D65" i="4"/>
  <c r="C65" i="4"/>
  <c r="E66" i="3"/>
  <c r="D66" i="3"/>
  <c r="C66" i="3"/>
  <c r="E65" i="3"/>
  <c r="D65" i="3"/>
  <c r="C65" i="3"/>
  <c r="E213" i="1"/>
  <c r="D20" i="1"/>
  <c r="C20" i="1"/>
  <c r="C19" i="6"/>
  <c r="D19" i="6"/>
  <c r="E19" i="6"/>
  <c r="F19" i="6"/>
  <c r="C17" i="6"/>
  <c r="D17" i="6"/>
  <c r="E17" i="6"/>
  <c r="F17" i="6"/>
  <c r="C18" i="6"/>
  <c r="D18" i="6"/>
  <c r="E18" i="6"/>
  <c r="F18" i="6"/>
  <c r="D16" i="6"/>
  <c r="E16" i="6"/>
  <c r="F16" i="6"/>
  <c r="C16" i="6"/>
  <c r="D19" i="7"/>
  <c r="E19" i="7"/>
  <c r="F19" i="7"/>
  <c r="C19" i="7"/>
  <c r="C17" i="7"/>
  <c r="D17" i="7"/>
  <c r="E17" i="7"/>
  <c r="F17" i="7"/>
  <c r="C18" i="7"/>
  <c r="D18" i="7"/>
  <c r="E18" i="7"/>
  <c r="F18" i="7"/>
  <c r="F20" i="7"/>
  <c r="D16" i="7"/>
  <c r="E16" i="7"/>
  <c r="F16" i="7"/>
  <c r="C16" i="7"/>
  <c r="C17" i="8"/>
  <c r="D17" i="8"/>
  <c r="C18" i="8"/>
  <c r="D18" i="8"/>
  <c r="E18" i="8"/>
  <c r="F20" i="8"/>
  <c r="D16" i="8"/>
  <c r="E16" i="8"/>
  <c r="F16" i="8"/>
  <c r="C16" i="8"/>
  <c r="C19" i="8"/>
  <c r="D19" i="8"/>
  <c r="E19" i="8"/>
  <c r="D13" i="6"/>
  <c r="D49" i="6"/>
  <c r="E13" i="6"/>
  <c r="E49" i="6"/>
  <c r="F13" i="6"/>
  <c r="C13" i="6"/>
  <c r="F11" i="6"/>
  <c r="B11" i="6"/>
  <c r="F12" i="6"/>
  <c r="F10" i="6"/>
  <c r="B10" i="6"/>
  <c r="D13" i="7"/>
  <c r="D49" i="7"/>
  <c r="E13" i="7"/>
  <c r="E49" i="7"/>
  <c r="F13" i="7"/>
  <c r="C13" i="7"/>
  <c r="F11" i="7"/>
  <c r="B11" i="7"/>
  <c r="F12" i="7"/>
  <c r="F10" i="7"/>
  <c r="B10" i="7"/>
  <c r="D13" i="8"/>
  <c r="D49" i="8"/>
  <c r="E13" i="8"/>
  <c r="E49" i="8"/>
  <c r="F13" i="8"/>
  <c r="C13" i="8"/>
  <c r="B11" i="8"/>
  <c r="F10" i="8"/>
  <c r="B10" i="8"/>
  <c r="C49" i="6"/>
  <c r="B13" i="6"/>
  <c r="B13" i="8"/>
  <c r="C49" i="8"/>
  <c r="B12" i="6"/>
  <c r="B12" i="7"/>
  <c r="B19" i="8"/>
  <c r="B18" i="8"/>
  <c r="B18" i="7"/>
  <c r="B18" i="6"/>
  <c r="B12" i="8"/>
  <c r="B16" i="8"/>
  <c r="B16" i="7"/>
  <c r="B16" i="6"/>
  <c r="B13" i="7"/>
  <c r="C49" i="7"/>
  <c r="B19" i="7"/>
  <c r="B19" i="6"/>
  <c r="E20" i="8"/>
  <c r="E66" i="8"/>
  <c r="C20" i="8"/>
  <c r="C66" i="8"/>
  <c r="E65" i="8"/>
  <c r="C65" i="8"/>
  <c r="E20" i="7"/>
  <c r="E66" i="7"/>
  <c r="C20" i="7"/>
  <c r="C66" i="7"/>
  <c r="E65" i="7"/>
  <c r="C65" i="7"/>
  <c r="E20" i="6"/>
  <c r="E66" i="6"/>
  <c r="C20" i="6"/>
  <c r="C66" i="6"/>
  <c r="E65" i="6"/>
  <c r="C65" i="6"/>
  <c r="D20" i="8"/>
  <c r="D66" i="8"/>
  <c r="D65" i="8"/>
  <c r="D20" i="7"/>
  <c r="D66" i="7"/>
  <c r="D65" i="7"/>
  <c r="D20" i="6"/>
  <c r="D66" i="6"/>
  <c r="D65" i="6"/>
  <c r="B17" i="8"/>
  <c r="B17" i="7"/>
  <c r="B17" i="6"/>
  <c r="B19" i="4"/>
  <c r="B17" i="4"/>
  <c r="B19" i="3"/>
  <c r="B17" i="3"/>
  <c r="B13" i="3"/>
  <c r="B12" i="3"/>
  <c r="B11" i="3"/>
  <c r="B10" i="3"/>
  <c r="B49" i="2"/>
  <c r="B13" i="1"/>
  <c r="B12" i="1"/>
  <c r="B11" i="1"/>
  <c r="B10" i="1"/>
  <c r="B20" i="6"/>
  <c r="B49" i="1"/>
  <c r="B49" i="3"/>
  <c r="B49" i="7"/>
  <c r="B49" i="8"/>
  <c r="B49" i="6"/>
  <c r="B57" i="8"/>
  <c r="B20" i="7"/>
  <c r="B65" i="1"/>
  <c r="B66" i="2"/>
  <c r="B65" i="3"/>
  <c r="B66" i="4"/>
  <c r="B65" i="6"/>
  <c r="B65" i="7"/>
  <c r="B65" i="8"/>
  <c r="B66" i="1"/>
  <c r="B65" i="2"/>
  <c r="B66" i="3"/>
  <c r="B65" i="4"/>
  <c r="B66" i="6"/>
  <c r="B66" i="7"/>
  <c r="B66" i="8"/>
  <c r="E51" i="3"/>
  <c r="E32" i="6"/>
  <c r="E34" i="6"/>
  <c r="E57" i="6"/>
  <c r="D50" i="6"/>
  <c r="E63" i="6"/>
  <c r="B33" i="6"/>
  <c r="B35" i="6"/>
  <c r="C63" i="6"/>
  <c r="E50" i="6"/>
  <c r="C50" i="6"/>
  <c r="D63" i="6"/>
  <c r="D33" i="6"/>
  <c r="D35" i="6"/>
  <c r="C33" i="6"/>
  <c r="C35" i="6"/>
  <c r="E33" i="6"/>
  <c r="E35" i="6"/>
  <c r="D51" i="6"/>
  <c r="E51" i="6"/>
  <c r="B63" i="6"/>
  <c r="B41" i="6"/>
  <c r="C51" i="6"/>
  <c r="B54" i="6"/>
  <c r="E58" i="6"/>
  <c r="E57" i="7"/>
  <c r="E32" i="7"/>
  <c r="E34" i="7"/>
  <c r="B33" i="3"/>
  <c r="B35" i="3"/>
  <c r="B32" i="3"/>
  <c r="B34" i="3"/>
  <c r="E32" i="8"/>
  <c r="E34" i="8"/>
  <c r="E63" i="4"/>
  <c r="D63" i="4"/>
  <c r="C63" i="4"/>
  <c r="E57" i="4"/>
  <c r="D57" i="4"/>
  <c r="C57" i="4"/>
  <c r="E50" i="4"/>
  <c r="E51" i="4"/>
  <c r="D50" i="4"/>
  <c r="D51" i="4"/>
  <c r="C50" i="4"/>
  <c r="C51" i="4"/>
  <c r="E62" i="4"/>
  <c r="D62" i="4"/>
  <c r="C62" i="4"/>
  <c r="E33" i="4"/>
  <c r="D33" i="4"/>
  <c r="C33" i="4"/>
  <c r="E32" i="4"/>
  <c r="E34" i="4"/>
  <c r="D32" i="4"/>
  <c r="D34" i="4"/>
  <c r="C32" i="4"/>
  <c r="C34" i="4"/>
  <c r="B32" i="4"/>
  <c r="B34" i="4"/>
  <c r="E63" i="3"/>
  <c r="D63" i="3"/>
  <c r="C63" i="3"/>
  <c r="B63" i="3"/>
  <c r="B57" i="3"/>
  <c r="B54" i="3"/>
  <c r="B45" i="3"/>
  <c r="B41" i="3"/>
  <c r="E62" i="3"/>
  <c r="E64" i="3"/>
  <c r="D62" i="3"/>
  <c r="D64" i="3"/>
  <c r="B70" i="3"/>
  <c r="E63" i="2"/>
  <c r="E64" i="2"/>
  <c r="D63" i="2"/>
  <c r="D64" i="2"/>
  <c r="C63" i="2"/>
  <c r="C64" i="2"/>
  <c r="E33" i="2"/>
  <c r="D33" i="2"/>
  <c r="C33" i="2"/>
  <c r="E32" i="2"/>
  <c r="E34" i="2"/>
  <c r="D32" i="2"/>
  <c r="D34" i="2"/>
  <c r="C32" i="2"/>
  <c r="C34" i="2"/>
  <c r="B24" i="6"/>
  <c r="B70" i="6"/>
  <c r="B50" i="6"/>
  <c r="B51" i="6"/>
  <c r="B32" i="2"/>
  <c r="B34" i="2"/>
  <c r="D63" i="1"/>
  <c r="D64" i="1"/>
  <c r="E63" i="1"/>
  <c r="E64" i="1"/>
  <c r="C63" i="1"/>
  <c r="C64" i="1"/>
  <c r="B70" i="1"/>
  <c r="B32" i="1"/>
  <c r="B34" i="1"/>
  <c r="C35" i="2"/>
  <c r="C59" i="2"/>
  <c r="C58" i="2"/>
  <c r="E35" i="4"/>
  <c r="E59" i="4"/>
  <c r="E58" i="4"/>
  <c r="D35" i="2"/>
  <c r="D59" i="2"/>
  <c r="D58" i="2"/>
  <c r="E35" i="2"/>
  <c r="E59" i="2"/>
  <c r="E58" i="2"/>
  <c r="C35" i="4"/>
  <c r="C59" i="4"/>
  <c r="C58" i="4"/>
  <c r="D35" i="4"/>
  <c r="D59" i="4"/>
  <c r="D58" i="4"/>
  <c r="B40" i="1"/>
  <c r="B70" i="4"/>
  <c r="E33" i="8"/>
  <c r="E50" i="8"/>
  <c r="E51" i="8"/>
  <c r="C33" i="8"/>
  <c r="C35" i="8"/>
  <c r="B40" i="2"/>
  <c r="B70" i="2"/>
  <c r="C50" i="8"/>
  <c r="C51" i="8"/>
  <c r="D63" i="8"/>
  <c r="B41" i="8"/>
  <c r="B50" i="3"/>
  <c r="B33" i="8"/>
  <c r="B35" i="8"/>
  <c r="D33" i="8"/>
  <c r="D35" i="8"/>
  <c r="D50" i="8"/>
  <c r="D51" i="8"/>
  <c r="E57" i="8"/>
  <c r="B54" i="2"/>
  <c r="D32" i="6"/>
  <c r="D34" i="6"/>
  <c r="D32" i="7"/>
  <c r="D34" i="7"/>
  <c r="D32" i="8"/>
  <c r="D34" i="8"/>
  <c r="D57" i="6"/>
  <c r="D57" i="7"/>
  <c r="D57" i="8"/>
  <c r="D44" i="8"/>
  <c r="B44" i="1"/>
  <c r="C57" i="7"/>
  <c r="E44" i="8"/>
  <c r="B63" i="1"/>
  <c r="B41" i="2"/>
  <c r="B44" i="2"/>
  <c r="B50" i="2"/>
  <c r="B57" i="2"/>
  <c r="C62" i="3"/>
  <c r="C64" i="3"/>
  <c r="B41" i="4"/>
  <c r="C64" i="4"/>
  <c r="E64" i="4"/>
  <c r="B50" i="4"/>
  <c r="B51" i="4"/>
  <c r="B57" i="4"/>
  <c r="B63" i="4"/>
  <c r="E63" i="8"/>
  <c r="C63" i="8"/>
  <c r="E44" i="7"/>
  <c r="C44" i="7"/>
  <c r="E63" i="7"/>
  <c r="C63" i="7"/>
  <c r="B63" i="2"/>
  <c r="D64" i="4"/>
  <c r="B54" i="4"/>
  <c r="B24" i="8"/>
  <c r="D63" i="7"/>
  <c r="B24" i="7"/>
  <c r="D33" i="7"/>
  <c r="D35" i="7"/>
  <c r="B41" i="7"/>
  <c r="D45" i="7"/>
  <c r="C50" i="7"/>
  <c r="E50" i="7"/>
  <c r="C33" i="7"/>
  <c r="C35" i="7"/>
  <c r="E33" i="7"/>
  <c r="E35" i="7"/>
  <c r="C45" i="7"/>
  <c r="D50" i="7"/>
  <c r="B58" i="3"/>
  <c r="B59" i="3"/>
  <c r="C44" i="8"/>
  <c r="B33" i="4"/>
  <c r="B35" i="4"/>
  <c r="B40" i="4"/>
  <c r="B33" i="2"/>
  <c r="B35" i="2"/>
  <c r="B33" i="1"/>
  <c r="B35" i="1"/>
  <c r="B54" i="1"/>
  <c r="B41" i="1"/>
  <c r="E58" i="8"/>
  <c r="E35" i="8"/>
  <c r="E59" i="8"/>
  <c r="C51" i="7"/>
  <c r="B51" i="1"/>
  <c r="B58" i="1"/>
  <c r="D44" i="7"/>
  <c r="D46" i="7"/>
  <c r="B51" i="3"/>
  <c r="B50" i="8"/>
  <c r="D58" i="8"/>
  <c r="B70" i="8"/>
  <c r="E45" i="7"/>
  <c r="E46" i="7"/>
  <c r="D62" i="7"/>
  <c r="B54" i="8"/>
  <c r="B63" i="8"/>
  <c r="B57" i="7"/>
  <c r="B59" i="2"/>
  <c r="B58" i="2"/>
  <c r="B58" i="4"/>
  <c r="B59" i="4"/>
  <c r="C57" i="8"/>
  <c r="B57" i="6"/>
  <c r="C57" i="6"/>
  <c r="B57" i="1"/>
  <c r="D44" i="6"/>
  <c r="E62" i="8"/>
  <c r="E45" i="8"/>
  <c r="E46" i="8"/>
  <c r="E62" i="6"/>
  <c r="E45" i="6"/>
  <c r="C62" i="7"/>
  <c r="B23" i="7"/>
  <c r="B69" i="7"/>
  <c r="C32" i="8"/>
  <c r="C34" i="8"/>
  <c r="B32" i="8"/>
  <c r="B34" i="8"/>
  <c r="C32" i="6"/>
  <c r="C34" i="6"/>
  <c r="B32" i="6"/>
  <c r="B34" i="6"/>
  <c r="D59" i="7"/>
  <c r="B45" i="1"/>
  <c r="B46" i="1"/>
  <c r="B62" i="1"/>
  <c r="B63" i="7"/>
  <c r="B50" i="7"/>
  <c r="B51" i="7"/>
  <c r="B33" i="7"/>
  <c r="B35" i="7"/>
  <c r="B44" i="4"/>
  <c r="B62" i="3"/>
  <c r="B44" i="3"/>
  <c r="B46" i="3"/>
  <c r="B40" i="3"/>
  <c r="B51" i="2"/>
  <c r="E44" i="6"/>
  <c r="E59" i="6"/>
  <c r="C44" i="6"/>
  <c r="D62" i="8"/>
  <c r="D45" i="8"/>
  <c r="D46" i="8"/>
  <c r="D62" i="6"/>
  <c r="D45" i="6"/>
  <c r="E62" i="7"/>
  <c r="C62" i="8"/>
  <c r="B62" i="8"/>
  <c r="C45" i="8"/>
  <c r="C46" i="8"/>
  <c r="C62" i="6"/>
  <c r="C45" i="6"/>
  <c r="C32" i="7"/>
  <c r="B32" i="7"/>
  <c r="B34" i="7"/>
  <c r="D59" i="8"/>
  <c r="D58" i="6"/>
  <c r="B23" i="4"/>
  <c r="B69" i="4"/>
  <c r="B45" i="4"/>
  <c r="B62" i="4"/>
  <c r="B62" i="2"/>
  <c r="B45" i="2"/>
  <c r="B46" i="2"/>
  <c r="E51" i="7"/>
  <c r="C46" i="7"/>
  <c r="D58" i="7"/>
  <c r="E59" i="7"/>
  <c r="E58" i="7"/>
  <c r="B70" i="7"/>
  <c r="B54" i="7"/>
  <c r="D51" i="7"/>
  <c r="B23" i="3"/>
  <c r="B69" i="3"/>
  <c r="B23" i="2"/>
  <c r="B69" i="2"/>
  <c r="B59" i="1"/>
  <c r="B23" i="1"/>
  <c r="B69" i="1"/>
  <c r="C34" i="7"/>
  <c r="C59" i="7"/>
  <c r="D46" i="6"/>
  <c r="D64" i="6"/>
  <c r="E46" i="6"/>
  <c r="E64" i="6"/>
  <c r="B58" i="8"/>
  <c r="D64" i="7"/>
  <c r="B59" i="8"/>
  <c r="B59" i="7"/>
  <c r="B64" i="1"/>
  <c r="B23" i="8"/>
  <c r="B69" i="8"/>
  <c r="C64" i="8"/>
  <c r="C64" i="7"/>
  <c r="E64" i="7"/>
  <c r="B45" i="7"/>
  <c r="B51" i="8"/>
  <c r="B46" i="4"/>
  <c r="B64" i="4"/>
  <c r="B45" i="8"/>
  <c r="C58" i="7"/>
  <c r="D64" i="8"/>
  <c r="C46" i="6"/>
  <c r="C64" i="6"/>
  <c r="B64" i="3"/>
  <c r="B58" i="6"/>
  <c r="D59" i="6"/>
  <c r="B62" i="6"/>
  <c r="B45" i="6"/>
  <c r="B23" i="6"/>
  <c r="B69" i="6"/>
  <c r="B40" i="6"/>
  <c r="B44" i="6"/>
  <c r="B40" i="7"/>
  <c r="B44" i="7"/>
  <c r="C59" i="6"/>
  <c r="C58" i="6"/>
  <c r="C59" i="8"/>
  <c r="C58" i="8"/>
  <c r="B62" i="7"/>
  <c r="E64" i="8"/>
  <c r="B40" i="8"/>
  <c r="B44" i="8"/>
  <c r="B64" i="2"/>
  <c r="B58" i="7"/>
  <c r="B46" i="7"/>
  <c r="B64" i="7"/>
  <c r="B59" i="6"/>
  <c r="B46" i="8"/>
  <c r="B64" i="8"/>
  <c r="B46" i="6"/>
  <c r="B64" i="6"/>
</calcChain>
</file>

<file path=xl/sharedStrings.xml><?xml version="1.0" encoding="utf-8"?>
<sst xmlns="http://schemas.openxmlformats.org/spreadsheetml/2006/main" count="481" uniqueCount="140">
  <si>
    <t>Indicador</t>
  </si>
  <si>
    <t>Total Programa</t>
  </si>
  <si>
    <t>Productos</t>
  </si>
  <si>
    <t>Red Cuido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</si>
  <si>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</si>
  <si>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</si>
  <si>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</si>
  <si>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</si>
  <si>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</si>
  <si>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</si>
  <si>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</si>
  <si>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</si>
  <si>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</si>
  <si>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</si>
  <si>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</si>
  <si>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</si>
  <si>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</si>
  <si>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</si>
  <si>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</si>
  <si>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</si>
  <si>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</si>
  <si>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</si>
  <si>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</si>
  <si>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</si>
  <si>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</si>
  <si>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</si>
  <si>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</si>
  <si>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</si>
  <si>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</si>
  <si>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</si>
  <si>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</si>
  <si>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</si>
  <si>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</si>
  <si>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</t>
  </si>
  <si>
    <t>programa</t>
  </si>
  <si>
    <t xml:space="preserve">Fuentes: </t>
  </si>
  <si>
    <t>Notas:</t>
  </si>
  <si>
    <t>La mayoría de los beneficiarios son los mismos todos los meses, por ello se utiliza el promedio de personas atendidas en el período.</t>
  </si>
  <si>
    <t xml:space="preserve">Beneficiarios </t>
  </si>
  <si>
    <t>Total programa</t>
  </si>
  <si>
    <t>Hogares</t>
  </si>
  <si>
    <t>Centros Diurnos</t>
  </si>
  <si>
    <t>Primer Trimestre</t>
  </si>
  <si>
    <t>Segundo Trimestre</t>
  </si>
  <si>
    <t>Tercer Trimestre</t>
  </si>
  <si>
    <t>Cuarto Trimestre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</si>
  <si>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</si>
  <si>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</si>
  <si>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</si>
  <si>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</si>
  <si>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anual programado por beneficiario (GPB) </t>
  </si>
  <si>
    <t xml:space="preserve">Gasto anual efectivo por beneficiario (GEB) </t>
  </si>
  <si>
    <t>Efectivos 1T 2014</t>
  </si>
  <si>
    <t>Gasto efectivo real 1T 2014</t>
  </si>
  <si>
    <t>Gasto efectivo real por beneficiario 1T 2014</t>
  </si>
  <si>
    <t>Efectivos 2T 2014</t>
  </si>
  <si>
    <t>IPC (2T 2014)</t>
  </si>
  <si>
    <t>Gasto efectivo real 2T 2014</t>
  </si>
  <si>
    <t>Gasto efectivo real por beneficiario 2T 2014</t>
  </si>
  <si>
    <t>IPC (1T 2014)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</si>
  <si>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</si>
  <si>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</si>
  <si>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</si>
  <si>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</si>
  <si>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</si>
  <si>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</si>
  <si>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</si>
  <si>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</si>
  <si>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Población Objetivo estimada a partir de la ENAHO 2014</t>
  </si>
  <si>
    <t>Efectivos 1S 2014</t>
  </si>
  <si>
    <t>IPC (1S 2014)</t>
  </si>
  <si>
    <t>Gasto efectivo real 1S 2014</t>
  </si>
  <si>
    <t>Gasto efectivo real por beneficiario 1S 2014</t>
  </si>
  <si>
    <t>Efectivos 3TA 2014</t>
  </si>
  <si>
    <t>IPC (3TA 2014)</t>
  </si>
  <si>
    <t>Gasto efectivo real 3TA 2014</t>
  </si>
  <si>
    <t>Gasto efectivo real por beneficiario 3TA 2014</t>
  </si>
  <si>
    <t>Efectivos  2014</t>
  </si>
  <si>
    <t>IPC ( 2014)</t>
  </si>
  <si>
    <t>Gasto efectivo real  2014</t>
  </si>
  <si>
    <t>Gasto efectivo real por beneficiario  2014</t>
  </si>
  <si>
    <t>Indicadores aplicados a CONAPAM Primer Trimestre 2015</t>
  </si>
  <si>
    <t>Programados 1T 2015</t>
  </si>
  <si>
    <t>Efectivos 1T 2015</t>
  </si>
  <si>
    <t>Programados año 2015</t>
  </si>
  <si>
    <t>En transferencias 1T 2015</t>
  </si>
  <si>
    <t>IPC (1T 2015)</t>
  </si>
  <si>
    <t>Gasto efectivo real 1T 2015</t>
  </si>
  <si>
    <t>Gasto efectivo real por beneficiario 1T 2015</t>
  </si>
  <si>
    <t>Informes trimestrales 2014 y 2015, CONAPAM</t>
  </si>
  <si>
    <t>Metas y modificaciones 2015, DESAF.</t>
  </si>
  <si>
    <t>Población objetivo: adultos mayores pobres que viven solos de acuerdo a la ENAHO 2014</t>
  </si>
  <si>
    <t>Indicadores aplicados a CONAPAM Segundo Trimestre 2015</t>
  </si>
  <si>
    <t>Programados 2T 2015</t>
  </si>
  <si>
    <t>Efectivos 2T 2015</t>
  </si>
  <si>
    <t>En transferencias 2T 2015</t>
  </si>
  <si>
    <t>IPC (2T 2015)</t>
  </si>
  <si>
    <t>Gasto efectivo real 2T 2015</t>
  </si>
  <si>
    <t>Gasto efectivo real por beneficiario 2T 2015</t>
  </si>
  <si>
    <t>Indicadores aplicados a CONAPAM Tercer trimestre 2015</t>
  </si>
  <si>
    <t>Programados 3T 2015</t>
  </si>
  <si>
    <t>Efectivos 3T 2015</t>
  </si>
  <si>
    <t>En transferencias 3T 2015</t>
  </si>
  <si>
    <t>IPC (3T 2015)</t>
  </si>
  <si>
    <t>Gasto efectivo real 3T 2015</t>
  </si>
  <si>
    <t>Gasto efectivo real por beneficiario 3T 2015</t>
  </si>
  <si>
    <t>Programados 4T 2015</t>
  </si>
  <si>
    <t>Efectivos 4T 2015</t>
  </si>
  <si>
    <t>En transferencias 4T 2015</t>
  </si>
  <si>
    <t>IPC (4T 2015)</t>
  </si>
  <si>
    <t>Gasto efectivo real 4T 2015</t>
  </si>
  <si>
    <t>Gasto efectivo real por beneficiario 4T 2015</t>
  </si>
  <si>
    <t>Población Objetivo estimada a partir de la ENAHO 2015</t>
  </si>
  <si>
    <t>Indicadores aplicados a CONAPAM  Primer Semestre 2015</t>
  </si>
  <si>
    <t>Programados 1S 2015</t>
  </si>
  <si>
    <t>Efectivos 1S 2015</t>
  </si>
  <si>
    <t>En transferencias 1S 2015</t>
  </si>
  <si>
    <t>IPC (1S 2015)</t>
  </si>
  <si>
    <t>Gasto efectivo real 1S 2015</t>
  </si>
  <si>
    <t>Gasto efectivo real por beneficiario 1S 2015</t>
  </si>
  <si>
    <t>Indicadores aplicados a CONAPAM  Tercer Trimestre Acumulado 2015</t>
  </si>
  <si>
    <t>Programados 3TA 2015</t>
  </si>
  <si>
    <t>Efectivos 3TA 2015</t>
  </si>
  <si>
    <t>En transferencias 3TA 2015</t>
  </si>
  <si>
    <t>IPC (3TA 2015)</t>
  </si>
  <si>
    <t>Gasto efectivo real 3TA 2015</t>
  </si>
  <si>
    <t>Gasto efectivo real por beneficiario 3TA 2015</t>
  </si>
  <si>
    <t>Indicadores aplicados a CONAPAM 2015</t>
  </si>
  <si>
    <t>Programados  2015</t>
  </si>
  <si>
    <t>Efectivos  2015</t>
  </si>
  <si>
    <t>En transferencias  2015</t>
  </si>
  <si>
    <t>IPC ( 2015)</t>
  </si>
  <si>
    <t>Gasto efectivo real  2015</t>
  </si>
  <si>
    <t>Gasto efectivo real por beneficiario  2015</t>
  </si>
  <si>
    <t>Fecha de actualización: 16/09/2015</t>
  </si>
  <si>
    <t>Fecha de actualización: 17/02/2016</t>
  </si>
  <si>
    <t>Personas en 
abandono</t>
  </si>
  <si>
    <t>Fecha de actualización: 07/03/2016</t>
  </si>
  <si>
    <t>5Indicadores aplicados a CONAPAM Cuarto trimestre 2015</t>
  </si>
  <si>
    <t>En los indicadores del 2015, el IPC 2014 no coincide con el IPC 2014 de los indicadores del 2014, debido a que a partir de julio 2015 el INEC actualizó la base del IPC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</si>
</sst>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____"/>
    <numFmt numFmtId="166" formatCode="#,##0.0"/>
    <numFmt numFmtId="167" formatCode="#,##0____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0" fillId="0" borderId="0" xfId="0" applyFill="1" applyAlignment="1">
      <alignment horizontal="left"/>
    </xf>
    <xf numFmtId="0" fontId="2" fillId="0" borderId="0" xfId="0" applyFont="1"/>
    <xf numFmtId="0" fontId="3" fillId="0" borderId="0" xfId="0" applyFont="1" applyFill="1"/>
    <xf numFmtId="165" fontId="0" fillId="0" borderId="0" xfId="0" applyNumberFormat="1" applyFill="1"/>
    <xf numFmtId="0" fontId="0" fillId="0" borderId="3" xfId="0" applyFill="1" applyBorder="1"/>
    <xf numFmtId="166" fontId="0" fillId="0" borderId="0" xfId="0" applyNumberFormat="1"/>
    <xf numFmtId="3" fontId="0" fillId="2" borderId="0" xfId="0" applyNumberFormat="1" applyFill="1"/>
    <xf numFmtId="2" fontId="0" fillId="0" borderId="0" xfId="0" applyNumberFormat="1" applyFill="1"/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3" xfId="0" applyBorder="1"/>
    <xf numFmtId="43" fontId="2" fillId="0" borderId="0" xfId="1" applyFont="1"/>
    <xf numFmtId="3" fontId="0" fillId="0" borderId="0" xfId="0" applyNumberFormat="1" applyFill="1" applyAlignment="1"/>
    <xf numFmtId="164" fontId="0" fillId="0" borderId="0" xfId="1" applyNumberFormat="1" applyFont="1"/>
    <xf numFmtId="167" fontId="0" fillId="0" borderId="0" xfId="0" applyNumberFormat="1" applyFill="1"/>
    <xf numFmtId="3" fontId="5" fillId="0" borderId="0" xfId="0" applyNumberFormat="1" applyFont="1"/>
    <xf numFmtId="3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/>
    <xf numFmtId="0" fontId="6" fillId="0" borderId="0" xfId="0" applyFont="1"/>
    <xf numFmtId="2" fontId="5" fillId="0" borderId="0" xfId="0" applyNumberFormat="1" applyFont="1" applyFill="1"/>
    <xf numFmtId="43" fontId="5" fillId="0" borderId="0" xfId="1" applyFont="1" applyFill="1"/>
    <xf numFmtId="164" fontId="1" fillId="0" borderId="0" xfId="1" applyNumberFormat="1" applyFont="1" applyFill="1"/>
    <xf numFmtId="3" fontId="0" fillId="0" borderId="0" xfId="0" applyNumberFormat="1" applyFont="1" applyFill="1"/>
    <xf numFmtId="0" fontId="0" fillId="0" borderId="0" xfId="0" applyFont="1" applyAlignment="1">
      <alignment horizontal="left" indent="1"/>
    </xf>
    <xf numFmtId="2" fontId="0" fillId="0" borderId="0" xfId="0" applyNumberFormat="1" applyFont="1" applyFill="1"/>
    <xf numFmtId="43" fontId="0" fillId="0" borderId="0" xfId="1" applyFont="1" applyFill="1"/>
    <xf numFmtId="0" fontId="0" fillId="0" borderId="3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Cobertura Potencial.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Trimestre'!$B$40</c:f>
              <c:numCache>
                <c:formatCode>#,##0.0____</c:formatCode>
                <c:ptCount val="1"/>
                <c:pt idx="0">
                  <c:v>4.1437399793753906</c:v>
                </c:pt>
              </c:numCache>
            </c:numRef>
          </c:val>
        </c:ser>
        <c:ser>
          <c:idx val="1"/>
          <c:order val="1"/>
          <c:tx>
            <c:strRef>
              <c:f>'I Trimestre'!$A$41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Trimestre'!$B$41</c:f>
              <c:numCache>
                <c:formatCode>#,##0.0____</c:formatCode>
                <c:ptCount val="1"/>
                <c:pt idx="0">
                  <c:v>3.6055430519905758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7116256"/>
        <c:axId val="347116648"/>
      </c:barChart>
      <c:catAx>
        <c:axId val="34711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47116648"/>
        <c:crosses val="autoZero"/>
        <c:auto val="1"/>
        <c:lblAlgn val="ctr"/>
        <c:lblOffset val="100"/>
        <c:noMultiLvlLbl val="0"/>
      </c:catAx>
      <c:valAx>
        <c:axId val="3471166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3471162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Anual!$B$44:$F$44</c:f>
              <c:numCache>
                <c:formatCode>#,##0.0____</c:formatCode>
                <c:ptCount val="5"/>
                <c:pt idx="0">
                  <c:v>86.476050631534591</c:v>
                </c:pt>
                <c:pt idx="1">
                  <c:v>95.232876712328761</c:v>
                </c:pt>
                <c:pt idx="2">
                  <c:v>86.686410003290561</c:v>
                </c:pt>
                <c:pt idx="3">
                  <c:v>94.826361993286852</c:v>
                </c:pt>
                <c:pt idx="4">
                  <c:v>3.5635964912280702</c:v>
                </c:pt>
              </c:numCache>
            </c:numRef>
          </c:val>
        </c:ser>
        <c:ser>
          <c:idx val="0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Anual!$B$45:$F$45</c:f>
              <c:numCache>
                <c:formatCode>#,##0.0____</c:formatCode>
                <c:ptCount val="5"/>
                <c:pt idx="0">
                  <c:v>96.715525544895868</c:v>
                </c:pt>
                <c:pt idx="1">
                  <c:v>95.526794128393803</c:v>
                </c:pt>
                <c:pt idx="2">
                  <c:v>88.840060189700026</c:v>
                </c:pt>
                <c:pt idx="3">
                  <c:v>98.010086240689304</c:v>
                </c:pt>
                <c:pt idx="4">
                  <c:v>99.340599999999995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Anual!$B$46:$F$46</c:f>
              <c:numCache>
                <c:formatCode>#,##0.0____</c:formatCode>
                <c:ptCount val="5"/>
                <c:pt idx="0">
                  <c:v>91.59578808821523</c:v>
                </c:pt>
                <c:pt idx="1">
                  <c:v>95.379835420361275</c:v>
                </c:pt>
                <c:pt idx="2">
                  <c:v>87.763235096495293</c:v>
                </c:pt>
                <c:pt idx="3">
                  <c:v>96.418224116988085</c:v>
                </c:pt>
                <c:pt idx="4">
                  <c:v>51.452098245614032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19672"/>
        <c:axId val="350324768"/>
      </c:barChart>
      <c:catAx>
        <c:axId val="350319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24768"/>
        <c:crosses val="autoZero"/>
        <c:auto val="1"/>
        <c:lblAlgn val="ctr"/>
        <c:lblOffset val="100"/>
        <c:noMultiLvlLbl val="0"/>
      </c:catAx>
      <c:valAx>
        <c:axId val="3503247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19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/>
              <a:t>CONAPAM: Indicadores de avance 2015</a:t>
            </a:r>
          </a:p>
        </c:rich>
      </c:tx>
      <c:layout>
        <c:manualLayout>
          <c:xMode val="edge"/>
          <c:yMode val="edge"/>
          <c:x val="0.14209033245844313"/>
          <c:y val="1.388888888888892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Anual!$B$49:$F$49</c:f>
              <c:numCache>
                <c:formatCode>#,##0.0____</c:formatCode>
                <c:ptCount val="5"/>
                <c:pt idx="0">
                  <c:v>86.479577962691039</c:v>
                </c:pt>
                <c:pt idx="1">
                  <c:v>95.232876712328761</c:v>
                </c:pt>
                <c:pt idx="2">
                  <c:v>86.703528172722486</c:v>
                </c:pt>
                <c:pt idx="3">
                  <c:v>94.826361993286852</c:v>
                </c:pt>
                <c:pt idx="4">
                  <c:v>3.5635964912280702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Anual!$B$50:$F$50</c:f>
              <c:numCache>
                <c:formatCode>#,##0.0____</c:formatCode>
                <c:ptCount val="5"/>
                <c:pt idx="0">
                  <c:v>96.715525544895868</c:v>
                </c:pt>
                <c:pt idx="1">
                  <c:v>95.526794128393803</c:v>
                </c:pt>
                <c:pt idx="2">
                  <c:v>88.840060189700026</c:v>
                </c:pt>
                <c:pt idx="3">
                  <c:v>98.010086240689304</c:v>
                </c:pt>
                <c:pt idx="4">
                  <c:v>99.340599999999995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Anual!$B$51:$F$51</c:f>
              <c:numCache>
                <c:formatCode>#,##0.0____</c:formatCode>
                <c:ptCount val="5"/>
                <c:pt idx="0">
                  <c:v>91.597551753793454</c:v>
                </c:pt>
                <c:pt idx="1">
                  <c:v>95.379835420361275</c:v>
                </c:pt>
                <c:pt idx="2">
                  <c:v>87.771794181211249</c:v>
                </c:pt>
                <c:pt idx="3">
                  <c:v>96.418224116988085</c:v>
                </c:pt>
                <c:pt idx="4">
                  <c:v>51.452098245614032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25552"/>
        <c:axId val="350325944"/>
      </c:barChart>
      <c:catAx>
        <c:axId val="35032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25944"/>
        <c:crosses val="autoZero"/>
        <c:auto val="1"/>
        <c:lblAlgn val="ctr"/>
        <c:lblOffset val="100"/>
        <c:noMultiLvlLbl val="0"/>
      </c:catAx>
      <c:valAx>
        <c:axId val="3503259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25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870120032618909E-2"/>
          <c:y val="0.17104698802893584"/>
          <c:w val="0.56328718287348101"/>
          <c:h val="0.76349561487741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Anual!$B$57:$E$57</c:f>
              <c:numCache>
                <c:formatCode>#,##0.0____</c:formatCode>
                <c:ptCount val="4"/>
                <c:pt idx="0">
                  <c:v>-1.3080515772650236</c:v>
                </c:pt>
                <c:pt idx="1">
                  <c:v>3.125</c:v>
                </c:pt>
                <c:pt idx="2">
                  <c:v>8.7247214197276222</c:v>
                </c:pt>
                <c:pt idx="3">
                  <c:v>-8.4932104148498837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Anual!$B$58:$E$58</c:f>
              <c:numCache>
                <c:formatCode>#,##0.0____</c:formatCode>
                <c:ptCount val="4"/>
                <c:pt idx="0">
                  <c:v>6.0628650993813205</c:v>
                </c:pt>
                <c:pt idx="1">
                  <c:v>1.9755973456235143</c:v>
                </c:pt>
                <c:pt idx="2">
                  <c:v>3.4333120027844055</c:v>
                </c:pt>
                <c:pt idx="3">
                  <c:v>-2.2985038164595739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Anual!$B$59:$E$59</c:f>
              <c:numCache>
                <c:formatCode>#,##0.0____</c:formatCode>
                <c:ptCount val="4"/>
                <c:pt idx="0">
                  <c:v>7.4686099468559641</c:v>
                </c:pt>
                <c:pt idx="1">
                  <c:v>-1.114572270910541</c:v>
                </c:pt>
                <c:pt idx="2">
                  <c:v>-4.8667951022067113</c:v>
                </c:pt>
                <c:pt idx="3">
                  <c:v>6.7696688152587114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494856"/>
        <c:axId val="350495248"/>
      </c:barChart>
      <c:catAx>
        <c:axId val="350494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495248"/>
        <c:crosses val="autoZero"/>
        <c:auto val="1"/>
        <c:lblAlgn val="ctr"/>
        <c:lblOffset val="100"/>
        <c:noMultiLvlLbl val="0"/>
      </c:catAx>
      <c:valAx>
        <c:axId val="3504952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4948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</a:t>
            </a:r>
            <a:r>
              <a:rPr lang="es-CR" sz="1400" baseline="0"/>
              <a:t> anual</a:t>
            </a:r>
            <a:r>
              <a:rPr lang="es-CR" sz="1400"/>
              <a:t> por beneficiario</a:t>
            </a:r>
            <a:r>
              <a:rPr lang="es-CR" sz="1400" baseline="0"/>
              <a:t> 2015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Anual!$B$65:$F$65</c:f>
              <c:numCache>
                <c:formatCode>#,##0____</c:formatCode>
                <c:ptCount val="5"/>
                <c:pt idx="0">
                  <c:v>1988593.2879226659</c:v>
                </c:pt>
                <c:pt idx="1">
                  <c:v>1871015.9621917808</c:v>
                </c:pt>
                <c:pt idx="2">
                  <c:v>714916.11293188552</c:v>
                </c:pt>
                <c:pt idx="3">
                  <c:v>2755894.1715724245</c:v>
                </c:pt>
                <c:pt idx="4">
                  <c:v>1651315.7894736843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Anual!$B$66:$F$66</c:f>
              <c:numCache>
                <c:formatCode>#,##0____</c:formatCode>
                <c:ptCount val="5"/>
                <c:pt idx="0">
                  <c:v>2224059.0722162127</c:v>
                </c:pt>
                <c:pt idx="1">
                  <c:v>1876790.4824626006</c:v>
                </c:pt>
                <c:pt idx="2">
                  <c:v>732677.59618888551</c:v>
                </c:pt>
                <c:pt idx="3">
                  <c:v>2848421.2591130324</c:v>
                </c:pt>
                <c:pt idx="4">
                  <c:v>46032905.723076925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496032"/>
        <c:axId val="350496424"/>
      </c:barChart>
      <c:catAx>
        <c:axId val="35049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496424"/>
        <c:crosses val="autoZero"/>
        <c:auto val="1"/>
        <c:lblAlgn val="ctr"/>
        <c:lblOffset val="100"/>
        <c:noMultiLvlLbl val="0"/>
      </c:catAx>
      <c:valAx>
        <c:axId val="350496424"/>
        <c:scaling>
          <c:orientation val="minMax"/>
        </c:scaling>
        <c:delete val="0"/>
        <c:axPos val="l"/>
        <c:majorGridlines/>
        <c:numFmt formatCode="#,##0____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4960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/>
            </a:pPr>
            <a:endParaRPr lang="es-CR"/>
          </a:p>
        </c:txPr>
      </c:dTable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</a:t>
            </a:r>
            <a:r>
              <a:rPr lang="es-CR" sz="1400" baseline="0"/>
              <a:t> de recursos 2015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97.382320755711049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99.315281043170174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0497600"/>
        <c:axId val="350497992"/>
      </c:barChart>
      <c:catAx>
        <c:axId val="350497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497992"/>
        <c:crosses val="autoZero"/>
        <c:auto val="1"/>
        <c:lblAlgn val="ctr"/>
        <c:lblOffset val="100"/>
        <c:noMultiLvlLbl val="0"/>
      </c:catAx>
      <c:valAx>
        <c:axId val="350497992"/>
        <c:scaling>
          <c:orientation val="minMax"/>
          <c:min val="0"/>
        </c:scaling>
        <c:delete val="1"/>
        <c:axPos val="l"/>
        <c:numFmt formatCode="#,##0" sourceLinked="0"/>
        <c:majorTickMark val="none"/>
        <c:minorTickMark val="none"/>
        <c:tickLblPos val="none"/>
        <c:crossAx val="35049760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/>
              <a:t>CONAPAM: Indicadores de gasto medio</a:t>
            </a:r>
            <a:r>
              <a:rPr lang="es-CR" baseline="0"/>
              <a:t> mensual por beneficiario </a:t>
            </a:r>
            <a:r>
              <a:rPr lang="es-CR"/>
              <a:t>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Anual!$B$62:$F$62</c:f>
              <c:numCache>
                <c:formatCode>#,##0</c:formatCode>
                <c:ptCount val="5"/>
                <c:pt idx="0">
                  <c:v>165716.10732688883</c:v>
                </c:pt>
                <c:pt idx="1">
                  <c:v>155917.99684931507</c:v>
                </c:pt>
                <c:pt idx="2">
                  <c:v>59576.342744323789</c:v>
                </c:pt>
                <c:pt idx="3">
                  <c:v>229657.84763103537</c:v>
                </c:pt>
                <c:pt idx="4">
                  <c:v>137609.64912280702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Anual!$B$63:$F$63</c:f>
              <c:numCache>
                <c:formatCode>#,##0</c:formatCode>
                <c:ptCount val="5"/>
                <c:pt idx="0">
                  <c:v>185338.25601801771</c:v>
                </c:pt>
                <c:pt idx="1">
                  <c:v>156399.20687188339</c:v>
                </c:pt>
                <c:pt idx="2">
                  <c:v>61056.466349073795</c:v>
                </c:pt>
                <c:pt idx="3">
                  <c:v>237368.43825941934</c:v>
                </c:pt>
                <c:pt idx="4">
                  <c:v>3836075.4769230769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498776"/>
        <c:axId val="350499168"/>
      </c:barChart>
      <c:catAx>
        <c:axId val="350498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499168"/>
        <c:crosses val="autoZero"/>
        <c:auto val="1"/>
        <c:lblAlgn val="ctr"/>
        <c:lblOffset val="100"/>
        <c:noMultiLvlLbl val="0"/>
      </c:catAx>
      <c:valAx>
        <c:axId val="350499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4987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/>
            </a:pPr>
            <a:endParaRPr lang="es-CR"/>
          </a:p>
        </c:txPr>
      </c:dTable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CONAPAM: Índice transferencia efectiva del gasto (ITG) 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#,##0.0____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0500344"/>
        <c:axId val="350500736"/>
      </c:barChart>
      <c:catAx>
        <c:axId val="35050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500736"/>
        <c:crosses val="autoZero"/>
        <c:auto val="1"/>
        <c:lblAlgn val="ctr"/>
        <c:lblOffset val="100"/>
        <c:noMultiLvlLbl val="0"/>
      </c:catAx>
      <c:valAx>
        <c:axId val="3505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500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CONAPAM: Indicador de gasto medio-Índice de eficiencia (IE) 2015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Anual!$B$64:$F$64</c:f>
              <c:numCache>
                <c:formatCode>#,##0.0____</c:formatCode>
                <c:ptCount val="5"/>
                <c:pt idx="0">
                  <c:v>81.898350484327537</c:v>
                </c:pt>
                <c:pt idx="1">
                  <c:v>95.086370167735069</c:v>
                </c:pt>
                <c:pt idx="2">
                  <c:v>85.63568917608653</c:v>
                </c:pt>
                <c:pt idx="3">
                  <c:v>93.286209343948343</c:v>
                </c:pt>
                <c:pt idx="4">
                  <c:v>1.8457158178468032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0501520"/>
        <c:axId val="350501912"/>
      </c:barChart>
      <c:catAx>
        <c:axId val="35050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501912"/>
        <c:crosses val="autoZero"/>
        <c:auto val="1"/>
        <c:lblAlgn val="ctr"/>
        <c:lblOffset val="100"/>
        <c:noMultiLvlLbl val="0"/>
      </c:catAx>
      <c:valAx>
        <c:axId val="35050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50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Trimestre'!$B$44:$E$44</c:f>
              <c:numCache>
                <c:formatCode>#,##0.0____</c:formatCode>
                <c:ptCount val="4"/>
                <c:pt idx="0">
                  <c:v>87.011807447774743</c:v>
                </c:pt>
                <c:pt idx="1">
                  <c:v>93.041095890410958</c:v>
                </c:pt>
                <c:pt idx="2">
                  <c:v>85.962014863748976</c:v>
                </c:pt>
                <c:pt idx="3">
                  <c:v>83.070068853786964</c:v>
                </c:pt>
              </c:numCache>
            </c:numRef>
          </c:val>
        </c:ser>
        <c:ser>
          <c:idx val="1"/>
          <c:order val="1"/>
          <c:tx>
            <c:strRef>
              <c:f>'I Trimestre'!$A$45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Trimestre'!$B$45:$E$45</c:f>
              <c:numCache>
                <c:formatCode>#,##0.0____</c:formatCode>
                <c:ptCount val="4"/>
                <c:pt idx="0">
                  <c:v>86.231963901543239</c:v>
                </c:pt>
                <c:pt idx="1">
                  <c:v>93.041095890410958</c:v>
                </c:pt>
                <c:pt idx="2">
                  <c:v>85.906963941646026</c:v>
                </c:pt>
                <c:pt idx="3">
                  <c:v>83.026073843846532</c:v>
                </c:pt>
              </c:numCache>
            </c:numRef>
          </c:val>
        </c:ser>
        <c:ser>
          <c:idx val="2"/>
          <c:order val="2"/>
          <c:tx>
            <c:strRef>
              <c:f>'I Trimestre'!$A$46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Trimestre'!$B$46:$E$46</c:f>
              <c:numCache>
                <c:formatCode>#,##0.0____</c:formatCode>
                <c:ptCount val="4"/>
                <c:pt idx="0">
                  <c:v>86.621885674658984</c:v>
                </c:pt>
                <c:pt idx="1">
                  <c:v>93.041095890410958</c:v>
                </c:pt>
                <c:pt idx="2">
                  <c:v>85.934489402697494</c:v>
                </c:pt>
                <c:pt idx="3">
                  <c:v>83.048071348816748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17432"/>
        <c:axId val="347117824"/>
      </c:barChart>
      <c:catAx>
        <c:axId val="347117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47117824"/>
        <c:crosses val="autoZero"/>
        <c:auto val="1"/>
        <c:lblAlgn val="ctr"/>
        <c:lblOffset val="100"/>
        <c:noMultiLvlLbl val="0"/>
      </c:catAx>
      <c:valAx>
        <c:axId val="3471178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471174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Avance.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Trimestre'!$B$49:$E$49</c:f>
              <c:numCache>
                <c:formatCode>#,##0.0____</c:formatCode>
                <c:ptCount val="4"/>
                <c:pt idx="0">
                  <c:v>86.728227412638063</c:v>
                </c:pt>
                <c:pt idx="1">
                  <c:v>93.041095890410958</c:v>
                </c:pt>
                <c:pt idx="2">
                  <c:v>85.962014863748976</c:v>
                </c:pt>
                <c:pt idx="3">
                  <c:v>82.468837957378369</c:v>
                </c:pt>
              </c:numCache>
            </c:numRef>
          </c:val>
        </c:ser>
        <c:ser>
          <c:idx val="1"/>
          <c:order val="1"/>
          <c:tx>
            <c:strRef>
              <c:f>'I Trimestre'!$A$50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Trimestre'!$B$50:$E$50</c:f>
              <c:numCache>
                <c:formatCode>#,##0.0____</c:formatCode>
                <c:ptCount val="4"/>
                <c:pt idx="0">
                  <c:v>21.463140017659065</c:v>
                </c:pt>
                <c:pt idx="1">
                  <c:v>23.260273972602739</c:v>
                </c:pt>
                <c:pt idx="2">
                  <c:v>21.476740985411507</c:v>
                </c:pt>
                <c:pt idx="3">
                  <c:v>20.610473123404564</c:v>
                </c:pt>
              </c:numCache>
            </c:numRef>
          </c:val>
        </c:ser>
        <c:ser>
          <c:idx val="2"/>
          <c:order val="2"/>
          <c:tx>
            <c:strRef>
              <c:f>'I Trimestre'!$A$51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Trimestre'!$B$51:$E$51</c:f>
              <c:numCache>
                <c:formatCode>#,##0.0____</c:formatCode>
                <c:ptCount val="4"/>
                <c:pt idx="0">
                  <c:v>54.095683715148567</c:v>
                </c:pt>
                <c:pt idx="1">
                  <c:v>58.150684931506845</c:v>
                </c:pt>
                <c:pt idx="2">
                  <c:v>53.719377924580243</c:v>
                </c:pt>
                <c:pt idx="3">
                  <c:v>51.539655540391465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18608"/>
        <c:axId val="347119000"/>
      </c:barChart>
      <c:catAx>
        <c:axId val="347118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47119000"/>
        <c:crosses val="autoZero"/>
        <c:auto val="1"/>
        <c:lblAlgn val="ctr"/>
        <c:lblOffset val="100"/>
        <c:noMultiLvlLbl val="0"/>
      </c:catAx>
      <c:valAx>
        <c:axId val="3471190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47118608"/>
        <c:crosses val="autoZero"/>
        <c:crossBetween val="between"/>
        <c:majorUnit val="25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Trimestre'!$B$57:$E$57</c:f>
              <c:numCache>
                <c:formatCode>#,##0.0____</c:formatCode>
                <c:ptCount val="4"/>
                <c:pt idx="0">
                  <c:v>22.862517099863201</c:v>
                </c:pt>
                <c:pt idx="1">
                  <c:v>7.7639094563147992</c:v>
                </c:pt>
                <c:pt idx="2">
                  <c:v>10.275423728813561</c:v>
                </c:pt>
                <c:pt idx="3">
                  <c:v>48.730964467005066</c:v>
                </c:pt>
              </c:numCache>
            </c:numRef>
          </c:val>
        </c:ser>
        <c:ser>
          <c:idx val="1"/>
          <c:order val="1"/>
          <c:tx>
            <c:strRef>
              <c:f>'I Trimestre'!$A$58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Trimestre'!$B$58:$E$58</c:f>
              <c:numCache>
                <c:formatCode>#,##0.0____</c:formatCode>
                <c:ptCount val="4"/>
                <c:pt idx="0">
                  <c:v>25.034715967483901</c:v>
                </c:pt>
                <c:pt idx="1">
                  <c:v>-0.37257658122576975</c:v>
                </c:pt>
                <c:pt idx="2">
                  <c:v>1.9213348890447124</c:v>
                </c:pt>
                <c:pt idx="3">
                  <c:v>49.91810994683614</c:v>
                </c:pt>
              </c:numCache>
            </c:numRef>
          </c:val>
        </c:ser>
        <c:ser>
          <c:idx val="2"/>
          <c:order val="2"/>
          <c:tx>
            <c:strRef>
              <c:f>'I Trimestre'!$A$59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Trimestre'!$B$59:$E$59</c:f>
              <c:numCache>
                <c:formatCode>#,##0.0____</c:formatCode>
                <c:ptCount val="4"/>
                <c:pt idx="0">
                  <c:v>1.7679915070070829</c:v>
                </c:pt>
                <c:pt idx="1">
                  <c:v>-7.5502884765320522</c:v>
                </c:pt>
                <c:pt idx="2">
                  <c:v>-7.5756578912024919</c:v>
                </c:pt>
                <c:pt idx="3">
                  <c:v>0.79818313831645504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19784"/>
        <c:axId val="347120176"/>
      </c:barChart>
      <c:catAx>
        <c:axId val="347119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47120176"/>
        <c:crosses val="autoZero"/>
        <c:auto val="1"/>
        <c:lblAlgn val="ctr"/>
        <c:lblOffset val="100"/>
        <c:noMultiLvlLbl val="0"/>
      </c:catAx>
      <c:valAx>
        <c:axId val="34712017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471197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Trimestre'!$B$62:$E$62</c:f>
              <c:numCache>
                <c:formatCode>#,##0</c:formatCode>
                <c:ptCount val="4"/>
                <c:pt idx="0">
                  <c:v>165222.67587042082</c:v>
                </c:pt>
                <c:pt idx="1">
                  <c:v>148220</c:v>
                </c:pt>
                <c:pt idx="2">
                  <c:v>59288</c:v>
                </c:pt>
                <c:pt idx="3">
                  <c:v>229749.5191035507</c:v>
                </c:pt>
              </c:numCache>
            </c:numRef>
          </c:val>
        </c:ser>
        <c:ser>
          <c:idx val="1"/>
          <c:order val="1"/>
          <c:tx>
            <c:strRef>
              <c:f>'I Trimestre'!$A$63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Trimestre'!$B$63:$E$63</c:f>
              <c:numCache>
                <c:formatCode>#,##0</c:formatCode>
                <c:ptCount val="4"/>
                <c:pt idx="0">
                  <c:v>163741.86721642312</c:v>
                </c:pt>
                <c:pt idx="1">
                  <c:v>148220</c:v>
                </c:pt>
                <c:pt idx="2">
                  <c:v>59250.031380083252</c:v>
                </c:pt>
                <c:pt idx="3">
                  <c:v>229627.84071184791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20960"/>
        <c:axId val="350318496"/>
      </c:barChart>
      <c:catAx>
        <c:axId val="34712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18496"/>
        <c:crosses val="autoZero"/>
        <c:auto val="1"/>
        <c:lblAlgn val="ctr"/>
        <c:lblOffset val="100"/>
        <c:noMultiLvlLbl val="0"/>
      </c:catAx>
      <c:valAx>
        <c:axId val="350318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/>
                  <a:t>Colones Corrientes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471209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s-ES"/>
            </a:pPr>
            <a:endParaRPr lang="es-CR"/>
          </a:p>
        </c:txPr>
      </c:dTable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Índice de eficiencia. Primer Trimestre 2013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Trimestre'!$B$64:$E$64</c:f>
              <c:numCache>
                <c:formatCode>#,##0.0____</c:formatCode>
                <c:ptCount val="4"/>
                <c:pt idx="0">
                  <c:v>87.405255500062864</c:v>
                </c:pt>
                <c:pt idx="1">
                  <c:v>93.041095890410958</c:v>
                </c:pt>
                <c:pt idx="2">
                  <c:v>85.989557963673278</c:v>
                </c:pt>
                <c:pt idx="3">
                  <c:v>83.092078015100839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21240"/>
        <c:axId val="350321632"/>
      </c:barChart>
      <c:catAx>
        <c:axId val="350321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21632"/>
        <c:crosses val="autoZero"/>
        <c:auto val="1"/>
        <c:lblAlgn val="ctr"/>
        <c:lblOffset val="100"/>
        <c:noMultiLvlLbl val="0"/>
      </c:catAx>
      <c:valAx>
        <c:axId val="350321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21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 de Recursos.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Trimestre'!$B$69</c:f>
              <c:numCache>
                <c:formatCode>#,##0.0____</c:formatCode>
                <c:ptCount val="1"/>
                <c:pt idx="0">
                  <c:v>97.870647794457227</c:v>
                </c:pt>
              </c:numCache>
            </c:numRef>
          </c:val>
        </c:ser>
        <c:ser>
          <c:idx val="1"/>
          <c:order val="1"/>
          <c:tx>
            <c:strRef>
              <c:f>'I Trimestre'!$A$70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Trimestre'!$B$70</c:f>
              <c:numCache>
                <c:formatCode>#,##0.0____</c:formatCode>
                <c:ptCount val="1"/>
                <c:pt idx="0">
                  <c:v>88.108095577995016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50322416"/>
        <c:axId val="350322808"/>
      </c:barChart>
      <c:catAx>
        <c:axId val="350322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22808"/>
        <c:crosses val="autoZero"/>
        <c:auto val="1"/>
        <c:lblAlgn val="ctr"/>
        <c:lblOffset val="100"/>
        <c:noMultiLvlLbl val="0"/>
      </c:catAx>
      <c:valAx>
        <c:axId val="3503228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3503224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Gasto trimestral efectivo por beneficiario</a:t>
            </a:r>
          </a:p>
        </c:rich>
      </c:tx>
      <c:layout>
        <c:manualLayout>
          <c:xMode val="edge"/>
          <c:yMode val="edge"/>
          <c:x val="0.11881255468066491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Trimestre'!$B$66:$E$66</c:f>
              <c:numCache>
                <c:formatCode>#,##0____</c:formatCode>
                <c:ptCount val="4"/>
                <c:pt idx="0">
                  <c:v>491225.60164926935</c:v>
                </c:pt>
                <c:pt idx="1">
                  <c:v>444660</c:v>
                </c:pt>
                <c:pt idx="2">
                  <c:v>177750.09414024977</c:v>
                </c:pt>
                <c:pt idx="3">
                  <c:v>688883.52213554364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'II Trimestre'!$B$66:$E$66</c:f>
              <c:numCache>
                <c:formatCode>#,##0.0____</c:formatCode>
                <c:ptCount val="4"/>
                <c:pt idx="0">
                  <c:v>498409.2420438822</c:v>
                </c:pt>
                <c:pt idx="1">
                  <c:v>444572.65763111372</c:v>
                </c:pt>
                <c:pt idx="2">
                  <c:v>176537.8937558248</c:v>
                </c:pt>
                <c:pt idx="3">
                  <c:v>689203.75513324596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'III Trimestre'!$B$66:$E$66</c:f>
              <c:numCache>
                <c:formatCode>#,##0.0____</c:formatCode>
                <c:ptCount val="4"/>
                <c:pt idx="0">
                  <c:v>499084.73335896939</c:v>
                </c:pt>
                <c:pt idx="1">
                  <c:v>444660</c:v>
                </c:pt>
                <c:pt idx="2">
                  <c:v>176884.93211009173</c:v>
                </c:pt>
                <c:pt idx="3">
                  <c:v>691945.10202150536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'IV Trimestre'!$B$66:$E$66</c:f>
              <c:numCache>
                <c:formatCode>#,##0.0____</c:formatCode>
                <c:ptCount val="4"/>
                <c:pt idx="0">
                  <c:v>701976.54982713773</c:v>
                </c:pt>
                <c:pt idx="1">
                  <c:v>541065.28431394696</c:v>
                </c:pt>
                <c:pt idx="2">
                  <c:v>199692.2955758427</c:v>
                </c:pt>
                <c:pt idx="3">
                  <c:v>759065.27473897289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0323592"/>
        <c:axId val="350323984"/>
      </c:barChart>
      <c:catAx>
        <c:axId val="350323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23984"/>
        <c:crosses val="autoZero"/>
        <c:auto val="1"/>
        <c:lblAlgn val="ctr"/>
        <c:lblOffset val="100"/>
        <c:noMultiLvlLbl val="0"/>
      </c:catAx>
      <c:valAx>
        <c:axId val="350323984"/>
        <c:scaling>
          <c:orientation val="minMax"/>
        </c:scaling>
        <c:delete val="0"/>
        <c:axPos val="l"/>
        <c:majorGridlines/>
        <c:numFmt formatCode="#,##0____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3503235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/>
              <a:t>CONAPAM: Indicadores de cobertura potencial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Anual!$B$40</c:f>
              <c:numCache>
                <c:formatCode>#,##0.0____</c:formatCode>
                <c:ptCount val="1"/>
                <c:pt idx="0">
                  <c:v>4.6136272967459782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Anual!$B$41</c:f>
              <c:numCache>
                <c:formatCode>#,##0.0____</c:formatCode>
                <c:ptCount val="1"/>
                <c:pt idx="0">
                  <c:v>3.9896826770843532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20848"/>
        <c:axId val="350320456"/>
      </c:barChart>
      <c:catAx>
        <c:axId val="35032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20456"/>
        <c:crosses val="autoZero"/>
        <c:auto val="1"/>
        <c:lblAlgn val="ctr"/>
        <c:lblOffset val="100"/>
        <c:noMultiLvlLbl val="0"/>
      </c:catAx>
      <c:valAx>
        <c:axId val="350320456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503208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188</xdr:row>
      <xdr:rowOff>171450</xdr:rowOff>
    </xdr:from>
    <xdr:to>
      <xdr:col>2</xdr:col>
      <xdr:colOff>123825</xdr:colOff>
      <xdr:row>203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203</xdr:row>
      <xdr:rowOff>152400</xdr:rowOff>
    </xdr:from>
    <xdr:to>
      <xdr:col>2</xdr:col>
      <xdr:colOff>95250</xdr:colOff>
      <xdr:row>218</xdr:row>
      <xdr:rowOff>38100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219</xdr:row>
      <xdr:rowOff>19050</xdr:rowOff>
    </xdr:from>
    <xdr:to>
      <xdr:col>2</xdr:col>
      <xdr:colOff>38100</xdr:colOff>
      <xdr:row>233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234</xdr:row>
      <xdr:rowOff>47625</xdr:rowOff>
    </xdr:from>
    <xdr:to>
      <xdr:col>2</xdr:col>
      <xdr:colOff>85725</xdr:colOff>
      <xdr:row>248</xdr:row>
      <xdr:rowOff>123825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249</xdr:row>
      <xdr:rowOff>57150</xdr:rowOff>
    </xdr:from>
    <xdr:to>
      <xdr:col>2</xdr:col>
      <xdr:colOff>95250</xdr:colOff>
      <xdr:row>263</xdr:row>
      <xdr:rowOff>133350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264</xdr:row>
      <xdr:rowOff>28575</xdr:rowOff>
    </xdr:from>
    <xdr:to>
      <xdr:col>2</xdr:col>
      <xdr:colOff>85725</xdr:colOff>
      <xdr:row>278</xdr:row>
      <xdr:rowOff>104775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279</xdr:row>
      <xdr:rowOff>28575</xdr:rowOff>
    </xdr:from>
    <xdr:to>
      <xdr:col>2</xdr:col>
      <xdr:colOff>66675</xdr:colOff>
      <xdr:row>293</xdr:row>
      <xdr:rowOff>104775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638175</xdr:colOff>
      <xdr:row>181</xdr:row>
      <xdr:rowOff>19050</xdr:rowOff>
    </xdr:from>
    <xdr:to>
      <xdr:col>15</xdr:col>
      <xdr:colOff>638175</xdr:colOff>
      <xdr:row>195</xdr:row>
      <xdr:rowOff>95250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388408</xdr:colOff>
      <xdr:row>1</xdr:row>
      <xdr:rowOff>159278</xdr:rowOff>
    </xdr:from>
    <xdr:to>
      <xdr:col>19</xdr:col>
      <xdr:colOff>389466</xdr:colOff>
      <xdr:row>16</xdr:row>
      <xdr:rowOff>13228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502708</xdr:colOff>
      <xdr:row>20</xdr:row>
      <xdr:rowOff>88900</xdr:rowOff>
    </xdr:from>
    <xdr:to>
      <xdr:col>19</xdr:col>
      <xdr:colOff>502708</xdr:colOff>
      <xdr:row>34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566208</xdr:colOff>
      <xdr:row>38</xdr:row>
      <xdr:rowOff>25400</xdr:rowOff>
    </xdr:from>
    <xdr:to>
      <xdr:col>14</xdr:col>
      <xdr:colOff>566208</xdr:colOff>
      <xdr:row>52</xdr:row>
      <xdr:rowOff>101600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418039</xdr:colOff>
      <xdr:row>53</xdr:row>
      <xdr:rowOff>184150</xdr:rowOff>
    </xdr:from>
    <xdr:to>
      <xdr:col>12</xdr:col>
      <xdr:colOff>412749</xdr:colOff>
      <xdr:row>70</xdr:row>
      <xdr:rowOff>69850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576790</xdr:colOff>
      <xdr:row>71</xdr:row>
      <xdr:rowOff>141816</xdr:rowOff>
    </xdr:from>
    <xdr:to>
      <xdr:col>13</xdr:col>
      <xdr:colOff>592667</xdr:colOff>
      <xdr:row>87</xdr:row>
      <xdr:rowOff>179915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640291</xdr:colOff>
      <xdr:row>87</xdr:row>
      <xdr:rowOff>35982</xdr:rowOff>
    </xdr:from>
    <xdr:to>
      <xdr:col>6</xdr:col>
      <xdr:colOff>349250</xdr:colOff>
      <xdr:row>103</xdr:row>
      <xdr:rowOff>126999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31749</xdr:colOff>
      <xdr:row>71</xdr:row>
      <xdr:rowOff>169334</xdr:rowOff>
    </xdr:from>
    <xdr:to>
      <xdr:col>21</xdr:col>
      <xdr:colOff>275166</xdr:colOff>
      <xdr:row>88</xdr:row>
      <xdr:rowOff>16933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42334</xdr:colOff>
      <xdr:row>89</xdr:row>
      <xdr:rowOff>20107</xdr:rowOff>
    </xdr:from>
    <xdr:to>
      <xdr:col>13</xdr:col>
      <xdr:colOff>42334</xdr:colOff>
      <xdr:row>103</xdr:row>
      <xdr:rowOff>96307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709082</xdr:colOff>
      <xdr:row>105</xdr:row>
      <xdr:rowOff>41274</xdr:rowOff>
    </xdr:from>
    <xdr:to>
      <xdr:col>11</xdr:col>
      <xdr:colOff>10582</xdr:colOff>
      <xdr:row>119</xdr:row>
      <xdr:rowOff>117474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3"/>
  <sheetViews>
    <sheetView topLeftCell="A52" zoomScale="70" zoomScaleNormal="70" workbookViewId="0">
      <selection activeCell="A82" sqref="A82"/>
    </sheetView>
  </sheetViews>
  <sheetFormatPr baseColWidth="10" defaultColWidth="11.42578125" defaultRowHeight="15" x14ac:dyDescent="0.25"/>
  <cols>
    <col min="1" max="1" width="55.140625" customWidth="1"/>
    <col min="2" max="2" width="26.28515625" customWidth="1"/>
    <col min="3" max="3" width="24.42578125" customWidth="1"/>
    <col min="4" max="6" width="15.7109375" customWidth="1"/>
  </cols>
  <sheetData>
    <row r="2" spans="1:8" ht="15.75" x14ac:dyDescent="0.25">
      <c r="A2" s="39" t="s">
        <v>81</v>
      </c>
      <c r="B2" s="39"/>
      <c r="C2" s="39"/>
      <c r="D2" s="39"/>
      <c r="E2" s="39"/>
    </row>
    <row r="4" spans="1:8" ht="15" customHeight="1" x14ac:dyDescent="0.25">
      <c r="A4" s="40" t="s">
        <v>0</v>
      </c>
      <c r="B4" s="42" t="s">
        <v>1</v>
      </c>
      <c r="C4" s="44" t="s">
        <v>2</v>
      </c>
      <c r="D4" s="44"/>
      <c r="E4" s="44"/>
      <c r="F4" s="44"/>
    </row>
    <row r="5" spans="1:8" ht="30.75" thickBot="1" x14ac:dyDescent="0.3">
      <c r="A5" s="41"/>
      <c r="B5" s="43"/>
      <c r="C5" s="1" t="s">
        <v>40</v>
      </c>
      <c r="D5" s="1" t="s">
        <v>41</v>
      </c>
      <c r="E5" s="1" t="s">
        <v>3</v>
      </c>
      <c r="F5" s="38" t="s">
        <v>136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  <c r="C9" s="3"/>
    </row>
    <row r="10" spans="1:8" x14ac:dyDescent="0.25">
      <c r="A10" s="4" t="s">
        <v>52</v>
      </c>
      <c r="B10" s="5">
        <f>SUM(C10:F10)</f>
        <v>3898.6666666666665</v>
      </c>
      <c r="C10" s="5">
        <v>1575.6666666666665</v>
      </c>
      <c r="D10" s="5">
        <v>944</v>
      </c>
      <c r="E10" s="5">
        <v>1379</v>
      </c>
      <c r="F10" s="5">
        <v>0</v>
      </c>
    </row>
    <row r="11" spans="1:8" x14ac:dyDescent="0.25">
      <c r="A11" s="35" t="s">
        <v>82</v>
      </c>
      <c r="B11" s="5">
        <f>SUM(C11:F11)</f>
        <v>5505</v>
      </c>
      <c r="C11" s="5">
        <v>1825</v>
      </c>
      <c r="D11" s="5">
        <v>1211</v>
      </c>
      <c r="E11" s="27">
        <v>2469</v>
      </c>
      <c r="F11" s="5">
        <v>0</v>
      </c>
      <c r="G11" s="11"/>
    </row>
    <row r="12" spans="1:8" x14ac:dyDescent="0.25">
      <c r="A12" s="35" t="s">
        <v>83</v>
      </c>
      <c r="B12" s="5">
        <f>SUM(C12:F12)</f>
        <v>4790</v>
      </c>
      <c r="C12" s="5">
        <v>1698</v>
      </c>
      <c r="D12" s="27">
        <v>1041</v>
      </c>
      <c r="E12" s="5">
        <v>2051</v>
      </c>
      <c r="F12" s="5">
        <v>0</v>
      </c>
    </row>
    <row r="13" spans="1:8" x14ac:dyDescent="0.25">
      <c r="A13" s="35" t="s">
        <v>84</v>
      </c>
      <c r="B13" s="5">
        <f>SUM(C13:F13)</f>
        <v>5523</v>
      </c>
      <c r="C13" s="5">
        <v>1825</v>
      </c>
      <c r="D13" s="34">
        <v>1211</v>
      </c>
      <c r="E13" s="34">
        <v>2487</v>
      </c>
      <c r="F13" s="5">
        <v>0</v>
      </c>
      <c r="G13" s="11"/>
    </row>
    <row r="14" spans="1:8" x14ac:dyDescent="0.25">
      <c r="B14" s="7"/>
      <c r="C14" s="7"/>
      <c r="D14" s="7"/>
      <c r="E14" s="7"/>
      <c r="F14" s="7"/>
      <c r="G14" s="30"/>
    </row>
    <row r="15" spans="1:8" x14ac:dyDescent="0.25">
      <c r="A15" s="8" t="s">
        <v>5</v>
      </c>
      <c r="B15" s="7"/>
      <c r="C15" s="7"/>
      <c r="D15" s="7"/>
      <c r="E15" s="7"/>
      <c r="F15" s="7"/>
    </row>
    <row r="16" spans="1:8" x14ac:dyDescent="0.25">
      <c r="A16" s="4" t="s">
        <v>52</v>
      </c>
      <c r="B16" s="27">
        <f>SUM(C16:F16)</f>
        <v>1806579708</v>
      </c>
      <c r="C16" s="5">
        <v>727542024</v>
      </c>
      <c r="D16" s="5">
        <v>174287684</v>
      </c>
      <c r="E16" s="5">
        <v>904750000</v>
      </c>
      <c r="F16" s="5">
        <v>0</v>
      </c>
      <c r="H16" s="11"/>
    </row>
    <row r="17" spans="1:7" x14ac:dyDescent="0.25">
      <c r="A17" s="6" t="s">
        <v>82</v>
      </c>
      <c r="B17" s="27">
        <f>SUM(C17:F17)</f>
        <v>2728652492</v>
      </c>
      <c r="C17" s="9">
        <v>811504500</v>
      </c>
      <c r="D17" s="5">
        <v>215393304</v>
      </c>
      <c r="E17" s="5">
        <v>1701754688</v>
      </c>
      <c r="F17" s="5">
        <v>0</v>
      </c>
    </row>
    <row r="18" spans="1:7" x14ac:dyDescent="0.25">
      <c r="A18" s="6" t="s">
        <v>83</v>
      </c>
      <c r="B18" s="27">
        <f>SUM(C18:F18)</f>
        <v>2352970631.9000001</v>
      </c>
      <c r="C18" s="5">
        <v>755032680</v>
      </c>
      <c r="D18" s="5">
        <v>185037848</v>
      </c>
      <c r="E18" s="5">
        <v>1412900103.9000001</v>
      </c>
      <c r="F18" s="5">
        <v>0</v>
      </c>
    </row>
    <row r="19" spans="1:7" x14ac:dyDescent="0.25">
      <c r="A19" s="6" t="s">
        <v>84</v>
      </c>
      <c r="B19" s="5">
        <f>SUM(C19:F19)</f>
        <v>10962844346</v>
      </c>
      <c r="C19" s="33">
        <v>3246018000</v>
      </c>
      <c r="D19" s="34">
        <v>861573216</v>
      </c>
      <c r="E19" s="34">
        <v>6855253130</v>
      </c>
      <c r="F19" s="5">
        <v>0</v>
      </c>
      <c r="G19" s="11"/>
    </row>
    <row r="20" spans="1:7" x14ac:dyDescent="0.25">
      <c r="A20" s="6" t="s">
        <v>85</v>
      </c>
      <c r="B20" s="5">
        <f>SUM(C20:F20)</f>
        <v>2352970631.9000001</v>
      </c>
      <c r="C20" s="5">
        <f>C18</f>
        <v>755032680</v>
      </c>
      <c r="D20" s="5">
        <f t="shared" ref="D20:F20" si="0">D18</f>
        <v>185037848</v>
      </c>
      <c r="E20" s="5">
        <f t="shared" si="0"/>
        <v>1412900103.9000001</v>
      </c>
      <c r="F20" s="5">
        <f t="shared" si="0"/>
        <v>0</v>
      </c>
    </row>
    <row r="21" spans="1:7" x14ac:dyDescent="0.25">
      <c r="B21" s="5"/>
      <c r="C21" s="9"/>
      <c r="D21" s="5"/>
      <c r="E21" s="5"/>
      <c r="F21" s="5"/>
    </row>
    <row r="22" spans="1:7" x14ac:dyDescent="0.25">
      <c r="A22" s="10" t="s">
        <v>6</v>
      </c>
      <c r="B22" s="5"/>
      <c r="C22" s="5"/>
      <c r="D22" s="5"/>
      <c r="E22" s="5"/>
      <c r="F22" s="5"/>
    </row>
    <row r="23" spans="1:7" x14ac:dyDescent="0.25">
      <c r="A23" s="4" t="s">
        <v>82</v>
      </c>
      <c r="B23" s="5">
        <f>B17</f>
        <v>2728652492</v>
      </c>
      <c r="C23" s="5"/>
      <c r="D23" s="5"/>
      <c r="E23" s="5"/>
      <c r="F23" s="5"/>
      <c r="G23" s="11"/>
    </row>
    <row r="24" spans="1:7" x14ac:dyDescent="0.25">
      <c r="A24" s="4" t="s">
        <v>83</v>
      </c>
      <c r="B24" s="5">
        <v>2670549869.98</v>
      </c>
      <c r="C24" s="5"/>
      <c r="D24" s="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7</v>
      </c>
      <c r="B26" s="7"/>
      <c r="C26" s="7"/>
      <c r="D26" s="7"/>
      <c r="E26" s="7"/>
      <c r="F26" s="7"/>
    </row>
    <row r="27" spans="1:7" x14ac:dyDescent="0.25">
      <c r="A27" s="4" t="s">
        <v>59</v>
      </c>
      <c r="B27" s="32">
        <v>0.96</v>
      </c>
      <c r="C27" s="32">
        <v>0.96</v>
      </c>
      <c r="D27" s="32">
        <v>0.96</v>
      </c>
      <c r="E27" s="32">
        <v>0.96</v>
      </c>
      <c r="F27" s="32">
        <v>0.96</v>
      </c>
    </row>
    <row r="28" spans="1:7" x14ac:dyDescent="0.25">
      <c r="A28" s="4" t="s">
        <v>86</v>
      </c>
      <c r="B28" s="32">
        <v>1</v>
      </c>
      <c r="C28" s="32">
        <v>1</v>
      </c>
      <c r="D28" s="32">
        <v>1</v>
      </c>
      <c r="E28" s="32">
        <v>1</v>
      </c>
      <c r="F28" s="32">
        <v>1</v>
      </c>
    </row>
    <row r="29" spans="1:7" x14ac:dyDescent="0.25">
      <c r="A29" s="4" t="s">
        <v>8</v>
      </c>
      <c r="B29" s="5">
        <v>132851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2" t="s">
        <v>9</v>
      </c>
      <c r="B31" s="7"/>
      <c r="C31" s="7"/>
      <c r="D31" s="7"/>
      <c r="E31" s="7"/>
      <c r="F31" s="7"/>
    </row>
    <row r="32" spans="1:7" x14ac:dyDescent="0.25">
      <c r="A32" s="7" t="s">
        <v>53</v>
      </c>
      <c r="B32" s="5">
        <f>B16/B27</f>
        <v>1881853862.5</v>
      </c>
      <c r="C32" s="5">
        <f t="shared" ref="C32:F32" si="1">C16/C27</f>
        <v>757856275</v>
      </c>
      <c r="D32" s="5">
        <f t="shared" si="1"/>
        <v>181549670.83333334</v>
      </c>
      <c r="E32" s="5">
        <f t="shared" si="1"/>
        <v>942447916.66666675</v>
      </c>
      <c r="F32" s="5">
        <f t="shared" si="1"/>
        <v>0</v>
      </c>
    </row>
    <row r="33" spans="1:8" x14ac:dyDescent="0.25">
      <c r="A33" s="7" t="s">
        <v>87</v>
      </c>
      <c r="B33" s="5">
        <f>B18/B28</f>
        <v>2352970631.9000001</v>
      </c>
      <c r="C33" s="5">
        <f t="shared" ref="C33:F33" si="2">C18/C28</f>
        <v>755032680</v>
      </c>
      <c r="D33" s="5">
        <f t="shared" si="2"/>
        <v>185037848</v>
      </c>
      <c r="E33" s="5">
        <f t="shared" si="2"/>
        <v>1412900103.9000001</v>
      </c>
      <c r="F33" s="5">
        <f t="shared" si="2"/>
        <v>0</v>
      </c>
    </row>
    <row r="34" spans="1:8" x14ac:dyDescent="0.25">
      <c r="A34" s="7" t="s">
        <v>54</v>
      </c>
      <c r="B34" s="27">
        <f>$B$32/(B10)</f>
        <v>482691.65419801645</v>
      </c>
      <c r="C34" s="27">
        <f>C32/(C10)</f>
        <v>480975.00000000006</v>
      </c>
      <c r="D34" s="27">
        <f>D32/(D10)</f>
        <v>192319.56656073447</v>
      </c>
      <c r="E34" s="27">
        <f>E32/(E10)</f>
        <v>683428.51099830796</v>
      </c>
      <c r="F34" s="27" t="e">
        <f>F32/(F10)</f>
        <v>#DIV/0!</v>
      </c>
      <c r="H34" s="11"/>
    </row>
    <row r="35" spans="1:8" x14ac:dyDescent="0.25">
      <c r="A35" s="7" t="s">
        <v>88</v>
      </c>
      <c r="B35" s="27">
        <f>$B$33/(B12)</f>
        <v>491225.60164926935</v>
      </c>
      <c r="C35" s="27">
        <f>C33/(C12)</f>
        <v>444660</v>
      </c>
      <c r="D35" s="27">
        <f>D33/(D12)</f>
        <v>177750.09414024977</v>
      </c>
      <c r="E35" s="27">
        <f>E33/(E12)</f>
        <v>688883.52213554364</v>
      </c>
      <c r="F35" s="27" t="e">
        <f>F33/(F12)</f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B37" s="7"/>
      <c r="C37" s="7"/>
      <c r="D37" s="7"/>
      <c r="E37" s="7"/>
      <c r="F37" s="7"/>
    </row>
    <row r="38" spans="1:8" x14ac:dyDescent="0.25">
      <c r="B38" s="7"/>
      <c r="C38" s="7"/>
      <c r="D38" s="7"/>
      <c r="E38" s="7"/>
      <c r="F38" s="7"/>
    </row>
    <row r="39" spans="1:8" x14ac:dyDescent="0.25">
      <c r="A39" t="s">
        <v>11</v>
      </c>
      <c r="B39" s="7"/>
      <c r="C39" s="7"/>
      <c r="D39" s="7"/>
      <c r="E39" s="7"/>
      <c r="F39" s="7"/>
    </row>
    <row r="40" spans="1:8" x14ac:dyDescent="0.25">
      <c r="A40" t="s">
        <v>12</v>
      </c>
      <c r="B40" s="13">
        <f>B11/B29*100</f>
        <v>4.1437399793753906</v>
      </c>
      <c r="C40" s="13"/>
      <c r="D40" s="13"/>
      <c r="E40" s="13"/>
      <c r="F40" s="13"/>
    </row>
    <row r="41" spans="1:8" x14ac:dyDescent="0.25">
      <c r="A41" t="s">
        <v>13</v>
      </c>
      <c r="B41" s="13">
        <f>B12/B29*100</f>
        <v>3.6055430519905758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87.011807447774743</v>
      </c>
      <c r="C44" s="13">
        <f t="shared" ref="C44:D44" si="3">C12/C11*100</f>
        <v>93.041095890410958</v>
      </c>
      <c r="D44" s="13">
        <f t="shared" si="3"/>
        <v>85.962014863748976</v>
      </c>
      <c r="E44" s="13">
        <f>E12/E11*100</f>
        <v>83.070068853786964</v>
      </c>
      <c r="F44" s="13" t="e">
        <f>F12/F11*100</f>
        <v>#DIV/0!</v>
      </c>
    </row>
    <row r="45" spans="1:8" x14ac:dyDescent="0.25">
      <c r="A45" t="s">
        <v>16</v>
      </c>
      <c r="B45" s="13">
        <f>B18/B17*100</f>
        <v>86.231963901543239</v>
      </c>
      <c r="C45" s="13">
        <f t="shared" ref="C45:F45" si="4">C18/C17*100</f>
        <v>93.041095890410958</v>
      </c>
      <c r="D45" s="13">
        <f t="shared" si="4"/>
        <v>85.906963941646026</v>
      </c>
      <c r="E45" s="13">
        <f t="shared" si="4"/>
        <v>83.026073843846532</v>
      </c>
      <c r="F45" s="13" t="e">
        <f t="shared" si="4"/>
        <v>#DIV/0!</v>
      </c>
    </row>
    <row r="46" spans="1:8" x14ac:dyDescent="0.25">
      <c r="A46" s="7" t="s">
        <v>17</v>
      </c>
      <c r="B46" s="13">
        <f>AVERAGE(B44:B45)</f>
        <v>86.621885674658984</v>
      </c>
      <c r="C46" s="13">
        <f t="shared" ref="C46:F46" si="5">AVERAGE(C44:C45)</f>
        <v>93.041095890410958</v>
      </c>
      <c r="D46" s="13">
        <f t="shared" si="5"/>
        <v>85.934489402697494</v>
      </c>
      <c r="E46" s="13">
        <f t="shared" si="5"/>
        <v>83.048071348816748</v>
      </c>
      <c r="F46" s="13" t="e">
        <f t="shared" si="5"/>
        <v>#DIV/0!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6" x14ac:dyDescent="0.25">
      <c r="A49" s="7" t="s">
        <v>19</v>
      </c>
      <c r="B49" s="13">
        <f>(B12/B13)*100</f>
        <v>86.728227412638063</v>
      </c>
      <c r="C49" s="13">
        <f t="shared" ref="C49:F49" si="6">(C12/C13)*100</f>
        <v>93.041095890410958</v>
      </c>
      <c r="D49" s="13">
        <f t="shared" si="6"/>
        <v>85.962014863748976</v>
      </c>
      <c r="E49" s="13">
        <f t="shared" si="6"/>
        <v>82.468837957378369</v>
      </c>
      <c r="F49" s="13" t="e">
        <f t="shared" si="6"/>
        <v>#DIV/0!</v>
      </c>
    </row>
    <row r="50" spans="1:6" x14ac:dyDescent="0.25">
      <c r="A50" s="7" t="s">
        <v>20</v>
      </c>
      <c r="B50" s="13">
        <f>B18/B19*100</f>
        <v>21.463140017659065</v>
      </c>
      <c r="C50" s="13">
        <f t="shared" ref="C50:F50" si="7">C18/C19*100</f>
        <v>23.260273972602739</v>
      </c>
      <c r="D50" s="13">
        <f t="shared" si="7"/>
        <v>21.476740985411507</v>
      </c>
      <c r="E50" s="13">
        <f t="shared" si="7"/>
        <v>20.610473123404564</v>
      </c>
      <c r="F50" s="13" t="e">
        <f t="shared" si="7"/>
        <v>#DIV/0!</v>
      </c>
    </row>
    <row r="51" spans="1:6" x14ac:dyDescent="0.25">
      <c r="A51" s="7" t="s">
        <v>21</v>
      </c>
      <c r="B51" s="13">
        <f>(B49+B50)/2</f>
        <v>54.095683715148567</v>
      </c>
      <c r="C51" s="13">
        <f t="shared" ref="C51:F51" si="8">(C49+C50)/2</f>
        <v>58.150684931506845</v>
      </c>
      <c r="D51" s="13">
        <f t="shared" si="8"/>
        <v>53.719377924580243</v>
      </c>
      <c r="E51" s="13">
        <f t="shared" si="8"/>
        <v>51.539655540391465</v>
      </c>
      <c r="F51" s="13" t="e">
        <f t="shared" si="8"/>
        <v>#DIV/0!</v>
      </c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 t="s">
        <v>22</v>
      </c>
      <c r="B53" s="7"/>
      <c r="C53" s="7"/>
      <c r="D53" s="7"/>
      <c r="E53" s="7"/>
      <c r="F53" s="7"/>
    </row>
    <row r="54" spans="1:6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 t="s">
        <v>24</v>
      </c>
      <c r="B56" s="7"/>
      <c r="C56" s="7"/>
      <c r="D56" s="7"/>
      <c r="E56" s="7"/>
      <c r="F56" s="7"/>
    </row>
    <row r="57" spans="1:6" x14ac:dyDescent="0.25">
      <c r="A57" s="7" t="s">
        <v>25</v>
      </c>
      <c r="B57" s="13">
        <f>((B12/B10)-1)*100</f>
        <v>22.862517099863201</v>
      </c>
      <c r="C57" s="13">
        <f t="shared" ref="C57:F57" si="9">((C12/C10)-1)*100</f>
        <v>7.7639094563147992</v>
      </c>
      <c r="D57" s="13">
        <f t="shared" si="9"/>
        <v>10.275423728813561</v>
      </c>
      <c r="E57" s="13">
        <f t="shared" si="9"/>
        <v>48.730964467005066</v>
      </c>
      <c r="F57" s="13" t="e">
        <f t="shared" si="9"/>
        <v>#DIV/0!</v>
      </c>
    </row>
    <row r="58" spans="1:6" x14ac:dyDescent="0.25">
      <c r="A58" s="7" t="s">
        <v>26</v>
      </c>
      <c r="B58" s="13">
        <f>((B33/B32)-1)*100</f>
        <v>25.034715967483901</v>
      </c>
      <c r="C58" s="13">
        <f t="shared" ref="C58:F58" si="10">((C33/C32)-1)*100</f>
        <v>-0.37257658122576975</v>
      </c>
      <c r="D58" s="13">
        <f t="shared" si="10"/>
        <v>1.9213348890447124</v>
      </c>
      <c r="E58" s="13">
        <f t="shared" si="10"/>
        <v>49.91810994683614</v>
      </c>
      <c r="F58" s="13" t="e">
        <f t="shared" si="10"/>
        <v>#DIV/0!</v>
      </c>
    </row>
    <row r="59" spans="1:6" x14ac:dyDescent="0.25">
      <c r="A59" s="7" t="s">
        <v>27</v>
      </c>
      <c r="B59" s="13">
        <f>((B35/B34)-1)*100</f>
        <v>1.7679915070070829</v>
      </c>
      <c r="C59" s="13">
        <f t="shared" ref="C59:F59" si="11">((C35/C34)-1)*100</f>
        <v>-7.5502884765320522</v>
      </c>
      <c r="D59" s="13">
        <f t="shared" si="11"/>
        <v>-7.5756578912024919</v>
      </c>
      <c r="E59" s="13">
        <f t="shared" si="11"/>
        <v>0.79818313831645504</v>
      </c>
      <c r="F59" s="13" t="e">
        <f t="shared" si="11"/>
        <v>#DIV/0!</v>
      </c>
    </row>
    <row r="60" spans="1:6" x14ac:dyDescent="0.25">
      <c r="A60" s="7"/>
      <c r="B60" s="13"/>
      <c r="C60" s="13"/>
      <c r="D60" s="13"/>
      <c r="E60" s="13"/>
      <c r="F60" s="13"/>
    </row>
    <row r="61" spans="1:6" x14ac:dyDescent="0.25">
      <c r="A61" s="7" t="s">
        <v>28</v>
      </c>
      <c r="B61" s="7"/>
      <c r="C61" s="7"/>
      <c r="D61" s="7"/>
      <c r="E61" s="7"/>
      <c r="F61" s="7"/>
    </row>
    <row r="62" spans="1:6" x14ac:dyDescent="0.25">
      <c r="A62" s="7" t="s">
        <v>46</v>
      </c>
      <c r="B62" s="5">
        <f>B17/(B11*3)</f>
        <v>165222.67587042082</v>
      </c>
      <c r="C62" s="5">
        <f t="shared" ref="C62:D62" si="12">C17/(C11*3)</f>
        <v>148220</v>
      </c>
      <c r="D62" s="5">
        <f t="shared" si="12"/>
        <v>59288</v>
      </c>
      <c r="E62" s="5">
        <f>E17/(E11*3)</f>
        <v>229749.5191035507</v>
      </c>
      <c r="F62" s="5" t="e">
        <f>F17/(F11*3)</f>
        <v>#DIV/0!</v>
      </c>
    </row>
    <row r="63" spans="1:6" x14ac:dyDescent="0.25">
      <c r="A63" s="7" t="s">
        <v>47</v>
      </c>
      <c r="B63" s="5">
        <f>$B$18/(B12*3)</f>
        <v>163741.86721642312</v>
      </c>
      <c r="C63" s="5">
        <f>C18/(C12*3)</f>
        <v>148220</v>
      </c>
      <c r="D63" s="5">
        <f t="shared" ref="D63:F63" si="13">D18/(D12*3)</f>
        <v>59250.031380083252</v>
      </c>
      <c r="E63" s="5">
        <f t="shared" si="13"/>
        <v>229627.84071184791</v>
      </c>
      <c r="F63" s="5" t="e">
        <f t="shared" si="13"/>
        <v>#DIV/0!</v>
      </c>
    </row>
    <row r="64" spans="1:6" x14ac:dyDescent="0.25">
      <c r="A64" s="7" t="s">
        <v>29</v>
      </c>
      <c r="B64" s="13">
        <f>(B62/B63)*B46</f>
        <v>87.405255500062864</v>
      </c>
      <c r="C64" s="13">
        <f t="shared" ref="C64:F64" si="14">(C62/C63)*C46</f>
        <v>93.041095890410958</v>
      </c>
      <c r="D64" s="13">
        <f t="shared" si="14"/>
        <v>85.989557963673278</v>
      </c>
      <c r="E64" s="13">
        <f t="shared" si="14"/>
        <v>83.092078015100839</v>
      </c>
      <c r="F64" s="13" t="e">
        <f t="shared" si="14"/>
        <v>#DIV/0!</v>
      </c>
    </row>
    <row r="65" spans="1:7" x14ac:dyDescent="0.25">
      <c r="A65" s="7" t="s">
        <v>48</v>
      </c>
      <c r="B65" s="25">
        <f>B17/B11</f>
        <v>495668.02761126251</v>
      </c>
      <c r="C65" s="25">
        <f t="shared" ref="C65:D65" si="15">C17/C11</f>
        <v>444660</v>
      </c>
      <c r="D65" s="25">
        <f t="shared" si="15"/>
        <v>177864</v>
      </c>
      <c r="E65" s="25">
        <f>E17/E11</f>
        <v>689248.5573106521</v>
      </c>
      <c r="F65" s="25" t="e">
        <f>F17/F11</f>
        <v>#DIV/0!</v>
      </c>
    </row>
    <row r="66" spans="1:7" x14ac:dyDescent="0.25">
      <c r="A66" s="7" t="s">
        <v>49</v>
      </c>
      <c r="B66" s="25">
        <f>B18/B12</f>
        <v>491225.60164926935</v>
      </c>
      <c r="C66" s="25">
        <f t="shared" ref="C66:F66" si="16">C18/C12</f>
        <v>444660</v>
      </c>
      <c r="D66" s="25">
        <f t="shared" si="16"/>
        <v>177750.09414024977</v>
      </c>
      <c r="E66" s="25">
        <f t="shared" si="16"/>
        <v>688883.52213554364</v>
      </c>
      <c r="F66" s="25" t="e">
        <f t="shared" si="16"/>
        <v>#DIV/0!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97.870647794457227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88.108095577995016</v>
      </c>
      <c r="C70" s="13"/>
      <c r="D70" s="13"/>
      <c r="E70" s="13"/>
      <c r="F70" s="13"/>
      <c r="G70" s="11"/>
    </row>
    <row r="71" spans="1:7" ht="15.75" thickBot="1" x14ac:dyDescent="0.3">
      <c r="A71" s="14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89</v>
      </c>
    </row>
    <row r="75" spans="1:7" x14ac:dyDescent="0.25">
      <c r="A75" t="s">
        <v>90</v>
      </c>
      <c r="B75" s="15"/>
      <c r="C75" s="15"/>
      <c r="D75" s="15"/>
    </row>
    <row r="76" spans="1:7" x14ac:dyDescent="0.25">
      <c r="A76" t="s">
        <v>68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t="s">
        <v>91</v>
      </c>
    </row>
    <row r="82" spans="1:1" x14ac:dyDescent="0.25">
      <c r="A82" s="46" t="s">
        <v>139</v>
      </c>
    </row>
    <row r="83" spans="1:1" x14ac:dyDescent="0.25">
      <c r="A83" t="s">
        <v>134</v>
      </c>
    </row>
    <row r="190" spans="4:8" x14ac:dyDescent="0.25">
      <c r="D190" s="24"/>
      <c r="E190" s="24" t="s">
        <v>42</v>
      </c>
      <c r="F190" s="24" t="s">
        <v>43</v>
      </c>
      <c r="G190" s="24" t="s">
        <v>44</v>
      </c>
      <c r="H190" s="24" t="s">
        <v>45</v>
      </c>
    </row>
    <row r="191" spans="4:8" x14ac:dyDescent="0.25">
      <c r="D191" s="24" t="s">
        <v>31</v>
      </c>
      <c r="E191" s="24">
        <v>93.271828425704058</v>
      </c>
      <c r="F191" s="24">
        <v>86.548558144982096</v>
      </c>
      <c r="G191" s="24">
        <v>82.222189747580757</v>
      </c>
      <c r="H191" s="24">
        <v>104.27430435089333</v>
      </c>
    </row>
    <row r="192" spans="4:8" x14ac:dyDescent="0.25">
      <c r="D192" s="24" t="s">
        <v>32</v>
      </c>
      <c r="E192" s="24">
        <v>72.182667347333364</v>
      </c>
      <c r="F192" s="24">
        <v>84.936774249756979</v>
      </c>
      <c r="G192" s="24">
        <v>106.94937841615069</v>
      </c>
      <c r="H192" s="24">
        <v>130.54830055902181</v>
      </c>
    </row>
    <row r="213" spans="5:5" x14ac:dyDescent="0.25">
      <c r="E213">
        <f>(100+25)/2</f>
        <v>62.5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80" zoomScaleNormal="80" workbookViewId="0">
      <pane xSplit="1" ySplit="5" topLeftCell="B66" activePane="bottomRight" state="frozen"/>
      <selection activeCell="D40" sqref="D40"/>
      <selection pane="topRight" activeCell="D40" sqref="D40"/>
      <selection pane="bottomLeft" activeCell="D40" sqref="D40"/>
      <selection pane="bottomRight" activeCell="A81" sqref="A81"/>
    </sheetView>
  </sheetViews>
  <sheetFormatPr baseColWidth="10" defaultColWidth="11.42578125" defaultRowHeight="15" x14ac:dyDescent="0.25"/>
  <cols>
    <col min="1" max="1" width="55.140625" customWidth="1"/>
    <col min="2" max="2" width="17.42578125" customWidth="1"/>
    <col min="3" max="3" width="16.85546875" bestFit="1" customWidth="1"/>
    <col min="4" max="4" width="15.140625" bestFit="1" customWidth="1"/>
    <col min="5" max="5" width="20.28515625" customWidth="1"/>
    <col min="6" max="6" width="14.5703125" customWidth="1"/>
  </cols>
  <sheetData>
    <row r="2" spans="1:8" ht="15.75" x14ac:dyDescent="0.25">
      <c r="A2" s="39" t="s">
        <v>92</v>
      </c>
      <c r="B2" s="39"/>
      <c r="C2" s="39"/>
      <c r="D2" s="39"/>
      <c r="E2" s="39"/>
    </row>
    <row r="4" spans="1:8" x14ac:dyDescent="0.25">
      <c r="A4" s="40" t="s">
        <v>0</v>
      </c>
      <c r="B4" s="42" t="s">
        <v>33</v>
      </c>
      <c r="C4" s="44" t="s">
        <v>2</v>
      </c>
      <c r="D4" s="44"/>
      <c r="E4" s="44"/>
      <c r="F4" s="44"/>
    </row>
    <row r="5" spans="1:8" ht="30.75" thickBot="1" x14ac:dyDescent="0.3">
      <c r="A5" s="41"/>
      <c r="B5" s="43" t="s">
        <v>34</v>
      </c>
      <c r="C5" s="1" t="s">
        <v>40</v>
      </c>
      <c r="D5" s="1" t="s">
        <v>41</v>
      </c>
      <c r="E5" s="1" t="s">
        <v>3</v>
      </c>
      <c r="F5" s="38" t="s">
        <v>136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  <c r="C9" s="3"/>
    </row>
    <row r="10" spans="1:8" x14ac:dyDescent="0.25">
      <c r="A10" s="4" t="s">
        <v>55</v>
      </c>
      <c r="B10" s="27">
        <f>SUM(C10:F10)</f>
        <v>6268.6666666666661</v>
      </c>
      <c r="C10" s="5">
        <v>1744.6666666666667</v>
      </c>
      <c r="D10" s="5">
        <v>1021.6666666666667</v>
      </c>
      <c r="E10" s="5">
        <v>3502.333333333333</v>
      </c>
      <c r="F10" s="5">
        <v>0</v>
      </c>
      <c r="H10" s="11"/>
    </row>
    <row r="11" spans="1:8" x14ac:dyDescent="0.25">
      <c r="A11" s="6" t="s">
        <v>93</v>
      </c>
      <c r="B11" s="27">
        <f>SUM(C11:F11)</f>
        <v>5529</v>
      </c>
      <c r="C11" s="5">
        <v>1825</v>
      </c>
      <c r="D11" s="5">
        <v>1211</v>
      </c>
      <c r="E11" s="5">
        <v>2493</v>
      </c>
      <c r="F11" s="5">
        <v>0</v>
      </c>
    </row>
    <row r="12" spans="1:8" x14ac:dyDescent="0.25">
      <c r="A12" s="6" t="s">
        <v>94</v>
      </c>
      <c r="B12" s="27">
        <f>SUM(C12:F12)</f>
        <v>5059</v>
      </c>
      <c r="C12" s="5">
        <v>1697</v>
      </c>
      <c r="D12" s="5">
        <v>1073</v>
      </c>
      <c r="E12" s="5">
        <v>2289</v>
      </c>
      <c r="F12" s="5">
        <v>0</v>
      </c>
      <c r="G12" s="11"/>
      <c r="H12" s="11"/>
    </row>
    <row r="13" spans="1:8" x14ac:dyDescent="0.25">
      <c r="A13" s="6" t="s">
        <v>84</v>
      </c>
      <c r="B13" s="5">
        <f>SUM(C13:F13)</f>
        <v>5523</v>
      </c>
      <c r="C13" s="5">
        <v>1825</v>
      </c>
      <c r="D13" s="34">
        <v>1211</v>
      </c>
      <c r="E13" s="34">
        <v>2487</v>
      </c>
      <c r="F13" s="5">
        <v>0</v>
      </c>
      <c r="G13" s="11"/>
    </row>
    <row r="14" spans="1:8" x14ac:dyDescent="0.25">
      <c r="B14" s="7"/>
      <c r="C14" s="7"/>
      <c r="D14" s="7"/>
      <c r="E14" s="7"/>
      <c r="F14" s="7"/>
      <c r="G14" s="30"/>
    </row>
    <row r="15" spans="1:8" x14ac:dyDescent="0.25">
      <c r="A15" s="8" t="s">
        <v>5</v>
      </c>
      <c r="B15" s="7"/>
      <c r="C15" s="7"/>
      <c r="D15" s="7"/>
      <c r="E15" s="7"/>
      <c r="F15" s="7"/>
    </row>
    <row r="16" spans="1:8" x14ac:dyDescent="0.25">
      <c r="A16" s="4" t="s">
        <v>55</v>
      </c>
      <c r="B16" s="27">
        <f>SUM(C16:F16)</f>
        <v>3292736882</v>
      </c>
      <c r="C16" s="5">
        <v>805575408</v>
      </c>
      <c r="D16" s="5">
        <v>188755224</v>
      </c>
      <c r="E16" s="5">
        <v>2298406250</v>
      </c>
      <c r="F16" s="5">
        <v>0</v>
      </c>
      <c r="H16" s="11"/>
    </row>
    <row r="17" spans="1:8" x14ac:dyDescent="0.25">
      <c r="A17" s="6" t="s">
        <v>93</v>
      </c>
      <c r="B17" s="27">
        <f>SUM(C17:F17)</f>
        <v>2744730618</v>
      </c>
      <c r="C17" s="3">
        <v>811504500</v>
      </c>
      <c r="D17" s="3">
        <v>215393304</v>
      </c>
      <c r="E17" s="5">
        <v>1717832814</v>
      </c>
      <c r="F17" s="5">
        <v>0</v>
      </c>
    </row>
    <row r="18" spans="1:8" x14ac:dyDescent="0.25">
      <c r="A18" s="6" t="s">
        <v>94</v>
      </c>
      <c r="B18" s="27">
        <f>SUM(C18:F18)</f>
        <v>2521452355.5</v>
      </c>
      <c r="C18" s="5">
        <v>754439800</v>
      </c>
      <c r="D18" s="5">
        <v>189425160</v>
      </c>
      <c r="E18" s="5">
        <v>1577587395.5</v>
      </c>
      <c r="F18" s="5">
        <v>0</v>
      </c>
      <c r="H18" s="11"/>
    </row>
    <row r="19" spans="1:8" x14ac:dyDescent="0.25">
      <c r="A19" s="6" t="s">
        <v>84</v>
      </c>
      <c r="B19" s="5">
        <f>SUM(C19:F19)</f>
        <v>10962844346</v>
      </c>
      <c r="C19" s="33">
        <v>3246018000</v>
      </c>
      <c r="D19" s="34">
        <v>861573216</v>
      </c>
      <c r="E19" s="34">
        <v>6855253130</v>
      </c>
      <c r="F19" s="29">
        <v>0</v>
      </c>
    </row>
    <row r="20" spans="1:8" x14ac:dyDescent="0.25">
      <c r="A20" s="6" t="s">
        <v>95</v>
      </c>
      <c r="B20" s="27">
        <f>SUM(C20:F20)</f>
        <v>2521452355.5</v>
      </c>
      <c r="C20" s="5">
        <f>C18</f>
        <v>754439800</v>
      </c>
      <c r="D20" s="5">
        <f t="shared" ref="D20:F20" si="0">D18</f>
        <v>189425160</v>
      </c>
      <c r="E20" s="5">
        <f t="shared" si="0"/>
        <v>1577587395.5</v>
      </c>
      <c r="F20" s="5">
        <f t="shared" si="0"/>
        <v>0</v>
      </c>
      <c r="G20" s="11"/>
    </row>
    <row r="21" spans="1:8" x14ac:dyDescent="0.25">
      <c r="B21" s="5"/>
      <c r="C21" s="9"/>
      <c r="D21" s="5"/>
      <c r="E21" s="5"/>
      <c r="F21" s="5"/>
    </row>
    <row r="22" spans="1:8" x14ac:dyDescent="0.25">
      <c r="A22" s="10" t="s">
        <v>6</v>
      </c>
      <c r="B22" s="5"/>
      <c r="C22" s="5"/>
      <c r="D22" s="5"/>
      <c r="E22" s="5"/>
      <c r="F22" s="5"/>
    </row>
    <row r="23" spans="1:8" x14ac:dyDescent="0.25">
      <c r="A23" s="4" t="s">
        <v>93</v>
      </c>
      <c r="B23" s="5">
        <f>B17</f>
        <v>2744730618</v>
      </c>
      <c r="C23" s="5"/>
      <c r="D23" s="5"/>
      <c r="E23" s="5"/>
      <c r="F23" s="5"/>
      <c r="G23" s="11"/>
    </row>
    <row r="24" spans="1:8" x14ac:dyDescent="0.25">
      <c r="A24" s="4" t="s">
        <v>94</v>
      </c>
      <c r="B24" s="5">
        <v>2425729123</v>
      </c>
      <c r="C24" s="5"/>
      <c r="D24" s="5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7</v>
      </c>
      <c r="B26" s="7"/>
      <c r="C26" s="7"/>
      <c r="D26" s="7"/>
      <c r="E26" s="7"/>
      <c r="F26" s="7"/>
    </row>
    <row r="27" spans="1:8" x14ac:dyDescent="0.25">
      <c r="A27" s="4" t="s">
        <v>56</v>
      </c>
      <c r="B27" s="31">
        <v>0.99</v>
      </c>
      <c r="C27" s="31">
        <v>0.99</v>
      </c>
      <c r="D27" s="31">
        <v>0.99</v>
      </c>
      <c r="E27" s="31">
        <v>0.99</v>
      </c>
      <c r="F27" s="31">
        <v>0.99</v>
      </c>
    </row>
    <row r="28" spans="1:8" x14ac:dyDescent="0.25">
      <c r="A28" s="4" t="s">
        <v>96</v>
      </c>
      <c r="B28" s="31">
        <v>1</v>
      </c>
      <c r="C28" s="31">
        <v>1</v>
      </c>
      <c r="D28" s="31">
        <v>1</v>
      </c>
      <c r="E28" s="31">
        <v>1</v>
      </c>
      <c r="F28" s="31">
        <v>1</v>
      </c>
    </row>
    <row r="29" spans="1:8" x14ac:dyDescent="0.25">
      <c r="A29" s="4" t="s">
        <v>8</v>
      </c>
      <c r="B29" s="5">
        <v>132851</v>
      </c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2" t="s">
        <v>9</v>
      </c>
      <c r="B31" s="7"/>
      <c r="C31" s="7"/>
      <c r="D31" s="7"/>
      <c r="E31" s="7"/>
      <c r="F31" s="7"/>
    </row>
    <row r="32" spans="1:8" x14ac:dyDescent="0.25">
      <c r="A32" s="7" t="s">
        <v>57</v>
      </c>
      <c r="B32" s="5">
        <f>B16/B27</f>
        <v>3325996850.5050507</v>
      </c>
      <c r="C32" s="5">
        <f>C16/C27</f>
        <v>813712533.33333337</v>
      </c>
      <c r="D32" s="5">
        <f>D16/D27</f>
        <v>190661842.42424244</v>
      </c>
      <c r="E32" s="5">
        <f>E16/E27</f>
        <v>2321622474.7474747</v>
      </c>
      <c r="F32" s="5">
        <f>F16/F27</f>
        <v>0</v>
      </c>
    </row>
    <row r="33" spans="1:8" x14ac:dyDescent="0.25">
      <c r="A33" s="7" t="s">
        <v>97</v>
      </c>
      <c r="B33" s="5">
        <f>B18/B28</f>
        <v>2521452355.5</v>
      </c>
      <c r="C33" s="5">
        <f>C18/C28</f>
        <v>754439800</v>
      </c>
      <c r="D33" s="5">
        <f>D18/D28</f>
        <v>189425160</v>
      </c>
      <c r="E33" s="5">
        <f>E18/E28</f>
        <v>1577587395.5</v>
      </c>
      <c r="F33" s="5">
        <f>F18/F28</f>
        <v>0</v>
      </c>
    </row>
    <row r="34" spans="1:8" x14ac:dyDescent="0.25">
      <c r="A34" s="7" t="s">
        <v>58</v>
      </c>
      <c r="B34" s="27">
        <f>$B$32/(B10)</f>
        <v>530574.84587446309</v>
      </c>
      <c r="C34" s="27">
        <f>C32/(C10)</f>
        <v>466400</v>
      </c>
      <c r="D34" s="27">
        <f>D32/(D10)</f>
        <v>186618.44282960106</v>
      </c>
      <c r="E34" s="27">
        <f>E32/(E10)</f>
        <v>662878.78787878796</v>
      </c>
      <c r="F34" s="27" t="e">
        <f>F32/(F10)</f>
        <v>#DIV/0!</v>
      </c>
      <c r="H34" s="11"/>
    </row>
    <row r="35" spans="1:8" x14ac:dyDescent="0.25">
      <c r="A35" s="7" t="s">
        <v>98</v>
      </c>
      <c r="B35" s="27">
        <f>$B$33/(B12)</f>
        <v>498409.2420438822</v>
      </c>
      <c r="C35" s="27">
        <f>C33/(C12)</f>
        <v>444572.65763111372</v>
      </c>
      <c r="D35" s="27">
        <f>D33/(D12)</f>
        <v>176537.8937558248</v>
      </c>
      <c r="E35" s="27">
        <f>E33/(E12)</f>
        <v>689203.75513324596</v>
      </c>
      <c r="F35" s="27" t="e">
        <f>F33/(F12)</f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B37" s="7"/>
      <c r="C37" s="7"/>
      <c r="D37" s="7"/>
      <c r="E37" s="7"/>
      <c r="F37" s="7"/>
    </row>
    <row r="38" spans="1:8" x14ac:dyDescent="0.25">
      <c r="B38" s="7"/>
      <c r="C38" s="7"/>
      <c r="D38" s="7"/>
      <c r="E38" s="7"/>
      <c r="F38" s="7"/>
    </row>
    <row r="39" spans="1:8" x14ac:dyDescent="0.25">
      <c r="A39" t="s">
        <v>11</v>
      </c>
      <c r="B39" s="7"/>
      <c r="C39" s="7"/>
      <c r="D39" s="7"/>
      <c r="E39" s="7"/>
      <c r="F39" s="7"/>
    </row>
    <row r="40" spans="1:8" x14ac:dyDescent="0.25">
      <c r="A40" t="s">
        <v>12</v>
      </c>
      <c r="B40" s="13">
        <f>B11/B29*100</f>
        <v>4.1618053307841114</v>
      </c>
      <c r="C40" s="13"/>
      <c r="D40" s="13"/>
      <c r="E40" s="13"/>
      <c r="F40" s="13"/>
    </row>
    <row r="41" spans="1:8" x14ac:dyDescent="0.25">
      <c r="A41" t="s">
        <v>13</v>
      </c>
      <c r="B41" s="13">
        <f>B12/B29*100</f>
        <v>3.8080255323633247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91.499366974136379</v>
      </c>
      <c r="C44" s="13">
        <f t="shared" ref="C44:F44" si="1">C12/C11*100</f>
        <v>92.986301369863014</v>
      </c>
      <c r="D44" s="13">
        <f t="shared" si="1"/>
        <v>88.604459124690337</v>
      </c>
      <c r="E44" s="13">
        <f t="shared" si="1"/>
        <v>91.817087845968715</v>
      </c>
      <c r="F44" s="13" t="e">
        <f t="shared" si="1"/>
        <v>#DIV/0!</v>
      </c>
    </row>
    <row r="45" spans="1:8" x14ac:dyDescent="0.25">
      <c r="A45" t="s">
        <v>16</v>
      </c>
      <c r="B45" s="13">
        <f>B18/B17*100</f>
        <v>91.865203053598904</v>
      </c>
      <c r="C45" s="13">
        <f t="shared" ref="C45:F45" si="2">C18/C17*100</f>
        <v>92.968036529680361</v>
      </c>
      <c r="D45" s="13">
        <f t="shared" si="2"/>
        <v>87.943848059454993</v>
      </c>
      <c r="E45" s="13">
        <f t="shared" si="2"/>
        <v>91.835909911777946</v>
      </c>
      <c r="F45" s="13" t="e">
        <f t="shared" si="2"/>
        <v>#DIV/0!</v>
      </c>
    </row>
    <row r="46" spans="1:8" x14ac:dyDescent="0.25">
      <c r="A46" s="7" t="s">
        <v>17</v>
      </c>
      <c r="B46" s="13">
        <f>AVERAGE(B44:B45)</f>
        <v>91.682285013867642</v>
      </c>
      <c r="C46" s="13">
        <f t="shared" ref="C46:F46" si="3">AVERAGE(C44:C45)</f>
        <v>92.977168949771681</v>
      </c>
      <c r="D46" s="13">
        <f t="shared" si="3"/>
        <v>88.274153592072665</v>
      </c>
      <c r="E46" s="13">
        <f t="shared" si="3"/>
        <v>91.826498878873338</v>
      </c>
      <c r="F46" s="13" t="e">
        <f t="shared" si="3"/>
        <v>#DIV/0!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91.59876878508058</v>
      </c>
      <c r="C49" s="28">
        <f t="shared" ref="C49:F49" si="4">(C12/C13)*100</f>
        <v>92.986301369863014</v>
      </c>
      <c r="D49" s="28">
        <f t="shared" si="4"/>
        <v>88.604459124690337</v>
      </c>
      <c r="E49" s="28">
        <f t="shared" si="4"/>
        <v>92.038600723763579</v>
      </c>
      <c r="F49" s="28" t="e">
        <f t="shared" si="4"/>
        <v>#DIV/0!</v>
      </c>
      <c r="G49" s="11"/>
    </row>
    <row r="50" spans="1:7" x14ac:dyDescent="0.25">
      <c r="A50" s="7" t="s">
        <v>20</v>
      </c>
      <c r="B50" s="13">
        <f>B18/B19*100</f>
        <v>22.999983178817999</v>
      </c>
      <c r="C50" s="13">
        <f t="shared" ref="C50:F50" si="5">C18/C19*100</f>
        <v>23.24200913242009</v>
      </c>
      <c r="D50" s="13">
        <f t="shared" si="5"/>
        <v>21.985962014863748</v>
      </c>
      <c r="E50" s="13">
        <f t="shared" si="5"/>
        <v>23.012824845170961</v>
      </c>
      <c r="F50" s="13" t="e">
        <f t="shared" si="5"/>
        <v>#DIV/0!</v>
      </c>
    </row>
    <row r="51" spans="1:7" x14ac:dyDescent="0.25">
      <c r="A51" s="7" t="s">
        <v>21</v>
      </c>
      <c r="B51" s="13">
        <f>(B49+B50)/2</f>
        <v>57.299375981949289</v>
      </c>
      <c r="C51" s="13">
        <f t="shared" ref="C51:F51" si="6">(C49+C50)/2</f>
        <v>58.114155251141554</v>
      </c>
      <c r="D51" s="13">
        <f t="shared" si="6"/>
        <v>55.295210569777041</v>
      </c>
      <c r="E51" s="13">
        <f t="shared" si="6"/>
        <v>57.525712784467274</v>
      </c>
      <c r="F51" s="13" t="e">
        <f t="shared" si="6"/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-19.297032861852593</v>
      </c>
      <c r="C57" s="13">
        <f t="shared" ref="C57:F57" si="7">((C12/C10)-1)*100</f>
        <v>-2.7321360336262979</v>
      </c>
      <c r="D57" s="13">
        <f t="shared" si="7"/>
        <v>5.0244698205546445</v>
      </c>
      <c r="E57" s="13">
        <f t="shared" si="7"/>
        <v>-34.643570952698198</v>
      </c>
      <c r="F57" s="13" t="e">
        <f t="shared" si="7"/>
        <v>#DIV/0!</v>
      </c>
    </row>
    <row r="58" spans="1:7" x14ac:dyDescent="0.25">
      <c r="A58" s="7" t="s">
        <v>26</v>
      </c>
      <c r="B58" s="13">
        <f>((B33/B32)-1)*100</f>
        <v>-24.189574770128875</v>
      </c>
      <c r="C58" s="13">
        <f t="shared" ref="C58:F58" si="8">((C33/C32)-1)*100</f>
        <v>-7.2842350222289802</v>
      </c>
      <c r="D58" s="13">
        <f t="shared" si="8"/>
        <v>-0.64862607458218147</v>
      </c>
      <c r="E58" s="13">
        <f t="shared" si="8"/>
        <v>-32.048064977851496</v>
      </c>
      <c r="F58" s="13" t="e">
        <f t="shared" si="8"/>
        <v>#DIV/0!</v>
      </c>
    </row>
    <row r="59" spans="1:7" x14ac:dyDescent="0.25">
      <c r="A59" s="7" t="s">
        <v>27</v>
      </c>
      <c r="B59" s="13">
        <f>((B35/B34)-1)*100</f>
        <v>-6.0624064786877323</v>
      </c>
      <c r="C59" s="13">
        <f t="shared" ref="C59:F59" si="9">((C35/C34)-1)*100</f>
        <v>-4.6799619144267339</v>
      </c>
      <c r="D59" s="13">
        <f t="shared" si="9"/>
        <v>-5.4016896298832995</v>
      </c>
      <c r="E59" s="13">
        <f t="shared" si="9"/>
        <v>3.971309345815377</v>
      </c>
      <c r="F59" s="13" t="e">
        <f t="shared" si="9"/>
        <v>#DIV/0!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B17/(B11*3)</f>
        <v>165474.80665581478</v>
      </c>
      <c r="C62" s="5">
        <f t="shared" ref="C62:F62" si="10">C17/(C11*3)</f>
        <v>148220</v>
      </c>
      <c r="D62" s="5">
        <f t="shared" si="10"/>
        <v>59288</v>
      </c>
      <c r="E62" s="5">
        <f t="shared" si="10"/>
        <v>229687.50020056157</v>
      </c>
      <c r="F62" s="5" t="e">
        <f t="shared" si="10"/>
        <v>#DIV/0!</v>
      </c>
    </row>
    <row r="63" spans="1:7" x14ac:dyDescent="0.25">
      <c r="A63" s="7" t="s">
        <v>47</v>
      </c>
      <c r="B63" s="5">
        <f>$B$18/(B12*3)</f>
        <v>166136.4140146274</v>
      </c>
      <c r="C63" s="5">
        <f>C18/(C12*3)</f>
        <v>148190.88587703792</v>
      </c>
      <c r="D63" s="5">
        <f t="shared" ref="D63:F63" si="11">D18/(D12*3)</f>
        <v>58845.964585274931</v>
      </c>
      <c r="E63" s="5">
        <f t="shared" si="11"/>
        <v>229734.58504441532</v>
      </c>
      <c r="F63" s="5" t="e">
        <f t="shared" si="11"/>
        <v>#DIV/0!</v>
      </c>
    </row>
    <row r="64" spans="1:7" x14ac:dyDescent="0.25">
      <c r="A64" s="7" t="s">
        <v>29</v>
      </c>
      <c r="B64" s="13">
        <f>(B62/B63)*B46</f>
        <v>91.317177371466073</v>
      </c>
      <c r="C64" s="13">
        <f t="shared" ref="C64:F64" si="12">(C62/C63)*C46</f>
        <v>92.995435584142953</v>
      </c>
      <c r="D64" s="13">
        <f t="shared" si="12"/>
        <v>88.937245825628139</v>
      </c>
      <c r="E64" s="13">
        <f t="shared" si="12"/>
        <v>91.807678741885638</v>
      </c>
      <c r="F64" s="13" t="e">
        <f t="shared" si="12"/>
        <v>#DIV/0!</v>
      </c>
    </row>
    <row r="65" spans="1:7" x14ac:dyDescent="0.25">
      <c r="A65" s="7" t="s">
        <v>48</v>
      </c>
      <c r="B65" s="13">
        <f>B17/B11</f>
        <v>496424.41996744438</v>
      </c>
      <c r="C65" s="13">
        <f t="shared" ref="C65:F65" si="13">C17/C11</f>
        <v>444660</v>
      </c>
      <c r="D65" s="13">
        <f t="shared" si="13"/>
        <v>177864</v>
      </c>
      <c r="E65" s="13">
        <f t="shared" si="13"/>
        <v>689062.50060168467</v>
      </c>
      <c r="F65" s="13" t="e">
        <f t="shared" si="13"/>
        <v>#DIV/0!</v>
      </c>
    </row>
    <row r="66" spans="1:7" x14ac:dyDescent="0.25">
      <c r="A66" s="7" t="s">
        <v>49</v>
      </c>
      <c r="B66" s="13">
        <f>B18/B12</f>
        <v>498409.2420438822</v>
      </c>
      <c r="C66" s="13">
        <f t="shared" ref="C66:F66" si="14">C18/C12</f>
        <v>444572.65763111372</v>
      </c>
      <c r="D66" s="13">
        <f t="shared" si="14"/>
        <v>176537.8937558248</v>
      </c>
      <c r="E66" s="13">
        <f t="shared" si="14"/>
        <v>689203.75513324596</v>
      </c>
      <c r="F66" s="13" t="e">
        <f t="shared" si="14"/>
        <v>#DIV/0!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88.377675648459572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103.94616330374164</v>
      </c>
      <c r="C70" s="13"/>
      <c r="D70" s="13"/>
      <c r="E70" s="13"/>
      <c r="F70" s="13"/>
      <c r="G70" s="11"/>
    </row>
    <row r="71" spans="1:7" ht="15.75" thickBot="1" x14ac:dyDescent="0.3">
      <c r="A71" s="14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89</v>
      </c>
    </row>
    <row r="75" spans="1:7" x14ac:dyDescent="0.25">
      <c r="A75" t="s">
        <v>90</v>
      </c>
      <c r="B75" s="15"/>
      <c r="C75" s="15"/>
      <c r="D75" s="15"/>
    </row>
    <row r="76" spans="1:7" x14ac:dyDescent="0.25">
      <c r="A76" t="s">
        <v>68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46" t="s">
        <v>139</v>
      </c>
    </row>
    <row r="83" spans="1:1" x14ac:dyDescent="0.25">
      <c r="A83" t="s">
        <v>134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90" zoomScaleNormal="90" workbookViewId="0">
      <pane xSplit="1" ySplit="5" topLeftCell="B75" activePane="bottomRight" state="frozen"/>
      <selection activeCell="D40" sqref="D40"/>
      <selection pane="topRight" activeCell="D40" sqref="D40"/>
      <selection pane="bottomLeft" activeCell="D40" sqref="D40"/>
      <selection pane="bottomRight" activeCell="A81" sqref="A81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9" t="s">
        <v>99</v>
      </c>
      <c r="B2" s="39"/>
      <c r="C2" s="39"/>
      <c r="D2" s="39"/>
      <c r="E2" s="39"/>
    </row>
    <row r="4" spans="1:8" ht="15" customHeight="1" x14ac:dyDescent="0.25">
      <c r="A4" s="40" t="s">
        <v>0</v>
      </c>
      <c r="B4" s="18" t="s">
        <v>33</v>
      </c>
      <c r="C4" s="44" t="s">
        <v>2</v>
      </c>
      <c r="D4" s="44"/>
      <c r="E4" s="44"/>
      <c r="F4" s="44"/>
    </row>
    <row r="5" spans="1:8" ht="30.75" thickBot="1" x14ac:dyDescent="0.3">
      <c r="A5" s="41"/>
      <c r="B5" s="1" t="s">
        <v>34</v>
      </c>
      <c r="C5" s="1" t="s">
        <v>40</v>
      </c>
      <c r="D5" s="1" t="s">
        <v>41</v>
      </c>
      <c r="E5" s="1" t="s">
        <v>3</v>
      </c>
      <c r="F5" s="38" t="s">
        <v>136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60</v>
      </c>
      <c r="B10" s="5">
        <f>SUM(C10:F10)</f>
        <v>5386.666666666667</v>
      </c>
      <c r="C10" s="3">
        <v>1652.6666666666667</v>
      </c>
      <c r="D10" s="3">
        <v>1008.6666666666666</v>
      </c>
      <c r="E10" s="3">
        <v>2725.3333333333335</v>
      </c>
      <c r="F10" s="5">
        <v>0</v>
      </c>
      <c r="G10" s="3"/>
    </row>
    <row r="11" spans="1:8" x14ac:dyDescent="0.25">
      <c r="A11" s="6" t="s">
        <v>100</v>
      </c>
      <c r="B11" s="5">
        <f>SUM(C11:F11)</f>
        <v>5706</v>
      </c>
      <c r="C11" s="5">
        <v>1825</v>
      </c>
      <c r="D11" s="5">
        <v>1294</v>
      </c>
      <c r="E11" s="5">
        <v>2587</v>
      </c>
      <c r="F11" s="5">
        <v>0</v>
      </c>
      <c r="G11" s="22"/>
    </row>
    <row r="12" spans="1:8" x14ac:dyDescent="0.25">
      <c r="A12" s="6" t="s">
        <v>101</v>
      </c>
      <c r="B12" s="3">
        <f>SUM(C12:F12)</f>
        <v>5201</v>
      </c>
      <c r="C12" s="3">
        <v>1786</v>
      </c>
      <c r="D12" s="3">
        <v>1090</v>
      </c>
      <c r="E12" s="3">
        <v>2325</v>
      </c>
      <c r="F12" s="5">
        <v>0</v>
      </c>
    </row>
    <row r="13" spans="1:8" x14ac:dyDescent="0.25">
      <c r="A13" s="6" t="s">
        <v>84</v>
      </c>
      <c r="B13" s="5">
        <f>SUM(C13:E13)</f>
        <v>5611</v>
      </c>
      <c r="C13" s="5">
        <v>1825</v>
      </c>
      <c r="D13" s="5">
        <v>1252</v>
      </c>
      <c r="E13" s="5">
        <v>2534</v>
      </c>
      <c r="F13" s="5">
        <v>0</v>
      </c>
      <c r="G13" s="22"/>
    </row>
    <row r="14" spans="1:8" x14ac:dyDescent="0.25">
      <c r="F14" s="7"/>
      <c r="G14" s="19"/>
    </row>
    <row r="15" spans="1:8" x14ac:dyDescent="0.25">
      <c r="A15" s="8" t="s">
        <v>5</v>
      </c>
      <c r="F15" s="7"/>
      <c r="G15" s="20"/>
    </row>
    <row r="16" spans="1:8" x14ac:dyDescent="0.25">
      <c r="A16" s="4" t="s">
        <v>60</v>
      </c>
      <c r="B16" s="27">
        <f>SUM(C16:F16)</f>
        <v>2749957196</v>
      </c>
      <c r="C16" s="5">
        <v>763101096</v>
      </c>
      <c r="D16" s="5">
        <v>186231100</v>
      </c>
      <c r="E16" s="5">
        <v>1800625000</v>
      </c>
      <c r="F16" s="5">
        <v>0</v>
      </c>
      <c r="H16" s="11"/>
    </row>
    <row r="17" spans="1:8" x14ac:dyDescent="0.25">
      <c r="A17" s="6" t="s">
        <v>100</v>
      </c>
      <c r="B17" s="27">
        <f>SUM(C17:F17)</f>
        <v>2898446595</v>
      </c>
      <c r="C17" s="3">
        <v>883495206</v>
      </c>
      <c r="D17" s="3">
        <v>232346700</v>
      </c>
      <c r="E17" s="5">
        <v>1782604689</v>
      </c>
      <c r="F17" s="5">
        <v>0</v>
      </c>
      <c r="G17" s="19"/>
    </row>
    <row r="18" spans="1:8" x14ac:dyDescent="0.25">
      <c r="A18" s="6" t="s">
        <v>101</v>
      </c>
      <c r="B18" s="26">
        <f>SUM(C18:F18)</f>
        <v>2595739698.1999998</v>
      </c>
      <c r="C18" s="5">
        <v>794162760</v>
      </c>
      <c r="D18" s="5">
        <v>192804576</v>
      </c>
      <c r="E18" s="5">
        <v>1608772362.2</v>
      </c>
      <c r="F18" s="5">
        <v>0</v>
      </c>
      <c r="H18" s="11"/>
    </row>
    <row r="19" spans="1:8" x14ac:dyDescent="0.25">
      <c r="A19" s="6" t="s">
        <v>84</v>
      </c>
      <c r="B19" s="3">
        <f>SUM(C19:F19)</f>
        <v>11270276300</v>
      </c>
      <c r="C19" s="9">
        <v>3389999412</v>
      </c>
      <c r="D19" s="5">
        <v>895480008</v>
      </c>
      <c r="E19" s="5">
        <v>6984796880</v>
      </c>
      <c r="F19" s="5">
        <v>0</v>
      </c>
    </row>
    <row r="20" spans="1:8" x14ac:dyDescent="0.25">
      <c r="A20" s="6" t="s">
        <v>102</v>
      </c>
      <c r="B20" s="5">
        <f>SUM(C20:F20)</f>
        <v>2595739698.1999998</v>
      </c>
      <c r="C20" s="5">
        <f>C18</f>
        <v>794162760</v>
      </c>
      <c r="D20" s="5">
        <f t="shared" ref="D20:F20" si="0">D18</f>
        <v>192804576</v>
      </c>
      <c r="E20" s="5">
        <f t="shared" si="0"/>
        <v>1608772362.2</v>
      </c>
      <c r="F20" s="5">
        <f t="shared" si="0"/>
        <v>0</v>
      </c>
    </row>
    <row r="21" spans="1:8" x14ac:dyDescent="0.25">
      <c r="B21" s="3"/>
      <c r="C21" s="3"/>
      <c r="D21" s="3"/>
      <c r="E21" s="3"/>
      <c r="F21" s="5"/>
      <c r="G21" s="19"/>
    </row>
    <row r="22" spans="1:8" x14ac:dyDescent="0.25">
      <c r="A22" s="10" t="s">
        <v>6</v>
      </c>
      <c r="B22" s="5"/>
      <c r="C22" s="5"/>
      <c r="D22" s="5"/>
      <c r="E22" s="5"/>
      <c r="F22" s="5"/>
    </row>
    <row r="23" spans="1:8" x14ac:dyDescent="0.25">
      <c r="A23" s="4" t="s">
        <v>100</v>
      </c>
      <c r="B23" s="5">
        <f>B17</f>
        <v>2898446595</v>
      </c>
      <c r="C23" s="5"/>
      <c r="D23" s="5"/>
      <c r="E23" s="5"/>
      <c r="F23" s="5"/>
      <c r="G23" s="11"/>
    </row>
    <row r="24" spans="1:8" x14ac:dyDescent="0.25">
      <c r="A24" s="4" t="s">
        <v>101</v>
      </c>
      <c r="B24" s="5">
        <v>2664581204.9899998</v>
      </c>
      <c r="C24" s="23"/>
      <c r="D24" s="23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7</v>
      </c>
      <c r="B26" s="7"/>
      <c r="C26" s="7"/>
      <c r="D26" s="7"/>
      <c r="E26" s="7"/>
      <c r="F26" s="7"/>
    </row>
    <row r="27" spans="1:8" x14ac:dyDescent="0.25">
      <c r="A27" s="4" t="s">
        <v>61</v>
      </c>
      <c r="B27" s="17">
        <v>1</v>
      </c>
      <c r="C27" s="17">
        <v>1</v>
      </c>
      <c r="D27" s="17">
        <v>1</v>
      </c>
      <c r="E27" s="17">
        <v>1</v>
      </c>
      <c r="F27" s="17">
        <v>1</v>
      </c>
    </row>
    <row r="28" spans="1:8" x14ac:dyDescent="0.25">
      <c r="A28" s="4" t="s">
        <v>103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8" x14ac:dyDescent="0.25">
      <c r="A29" s="4" t="s">
        <v>8</v>
      </c>
      <c r="B29" s="5">
        <v>132851</v>
      </c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2" t="s">
        <v>9</v>
      </c>
      <c r="B31" s="7"/>
      <c r="C31" s="7"/>
      <c r="D31" s="7"/>
      <c r="E31" s="7"/>
      <c r="F31" s="7"/>
    </row>
    <row r="32" spans="1:8" x14ac:dyDescent="0.25">
      <c r="A32" s="7" t="s">
        <v>62</v>
      </c>
      <c r="B32" s="5">
        <f>B16/B27</f>
        <v>2749957196</v>
      </c>
      <c r="C32" s="5">
        <f t="shared" ref="C32:F32" si="1">C16/C27</f>
        <v>763101096</v>
      </c>
      <c r="D32" s="5">
        <f t="shared" si="1"/>
        <v>186231100</v>
      </c>
      <c r="E32" s="5">
        <f t="shared" si="1"/>
        <v>1800625000</v>
      </c>
      <c r="F32" s="5">
        <f t="shared" si="1"/>
        <v>0</v>
      </c>
    </row>
    <row r="33" spans="1:8" x14ac:dyDescent="0.25">
      <c r="A33" s="7" t="s">
        <v>104</v>
      </c>
      <c r="B33" s="5">
        <f>B18/B28</f>
        <v>2621959291.1111112</v>
      </c>
      <c r="C33" s="5">
        <f t="shared" ref="C33:F33" si="2">C18/C28</f>
        <v>802184606.06060612</v>
      </c>
      <c r="D33" s="5">
        <f t="shared" si="2"/>
        <v>194752096.96969697</v>
      </c>
      <c r="E33" s="5">
        <f t="shared" si="2"/>
        <v>1625022588.0808082</v>
      </c>
      <c r="F33" s="5">
        <f t="shared" si="2"/>
        <v>0</v>
      </c>
    </row>
    <row r="34" spans="1:8" x14ac:dyDescent="0.25">
      <c r="A34" s="7" t="s">
        <v>63</v>
      </c>
      <c r="B34" s="27">
        <f>$B$32/(B10)</f>
        <v>510511.85569306929</v>
      </c>
      <c r="C34" s="27">
        <f>C32/(C10)</f>
        <v>461739.26744655101</v>
      </c>
      <c r="D34" s="27">
        <f>D32/(D10)</f>
        <v>184630.96497025777</v>
      </c>
      <c r="E34" s="27">
        <f>E32/(E10)</f>
        <v>660698.99706457916</v>
      </c>
      <c r="F34" s="27" t="e">
        <f>F32/(F10)</f>
        <v>#DIV/0!</v>
      </c>
      <c r="H34" s="11"/>
    </row>
    <row r="35" spans="1:8" x14ac:dyDescent="0.25">
      <c r="A35" s="7" t="s">
        <v>105</v>
      </c>
      <c r="B35" s="27">
        <f>$B$33/(B12)</f>
        <v>504125.99329188833</v>
      </c>
      <c r="C35" s="27">
        <f>C33/(C12)</f>
        <v>449151.5151515152</v>
      </c>
      <c r="D35" s="27">
        <f>D33/(D12)</f>
        <v>178671.64859605226</v>
      </c>
      <c r="E35" s="27">
        <f>E33/(E12)</f>
        <v>698934.44648636912</v>
      </c>
      <c r="F35" s="27" t="e">
        <f>F33/(F12)</f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</row>
    <row r="39" spans="1:8" x14ac:dyDescent="0.25">
      <c r="A39" t="s">
        <v>11</v>
      </c>
    </row>
    <row r="40" spans="1:8" x14ac:dyDescent="0.25">
      <c r="A40" t="s">
        <v>12</v>
      </c>
      <c r="B40" s="13">
        <f>B11/B29*100</f>
        <v>4.2950372974234288</v>
      </c>
      <c r="C40" s="13"/>
      <c r="D40" s="13"/>
      <c r="E40" s="13"/>
      <c r="F40" s="13"/>
    </row>
    <row r="41" spans="1:8" x14ac:dyDescent="0.25">
      <c r="A41" t="s">
        <v>13</v>
      </c>
      <c r="B41" s="13">
        <f>B12/B29*100</f>
        <v>3.9149121948649239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91.149667017174906</v>
      </c>
      <c r="C44" s="13">
        <f t="shared" ref="C44:F44" si="3">C12/C11*100</f>
        <v>97.863013698630141</v>
      </c>
      <c r="D44" s="13">
        <f t="shared" si="3"/>
        <v>84.23493044822257</v>
      </c>
      <c r="E44" s="13">
        <f t="shared" si="3"/>
        <v>89.872439118670272</v>
      </c>
      <c r="F44" s="13" t="e">
        <f t="shared" si="3"/>
        <v>#DIV/0!</v>
      </c>
    </row>
    <row r="45" spans="1:8" x14ac:dyDescent="0.25">
      <c r="A45" t="s">
        <v>16</v>
      </c>
      <c r="B45" s="13">
        <f>B18/B17*100</f>
        <v>89.556236871081623</v>
      </c>
      <c r="C45" s="13">
        <f t="shared" ref="C45:F45" si="4">C18/C17*100</f>
        <v>89.888745813975589</v>
      </c>
      <c r="D45" s="13">
        <f t="shared" si="4"/>
        <v>82.98141355138678</v>
      </c>
      <c r="E45" s="13">
        <f t="shared" si="4"/>
        <v>90.248408529794915</v>
      </c>
      <c r="F45" s="13" t="e">
        <f t="shared" si="4"/>
        <v>#DIV/0!</v>
      </c>
    </row>
    <row r="46" spans="1:8" x14ac:dyDescent="0.25">
      <c r="A46" s="7" t="s">
        <v>17</v>
      </c>
      <c r="B46" s="13">
        <f>AVERAGE(B44:B45)</f>
        <v>90.352951944128264</v>
      </c>
      <c r="C46" s="13">
        <f t="shared" ref="C46:F46" si="5">AVERAGE(C44:C45)</f>
        <v>93.875879756302865</v>
      </c>
      <c r="D46" s="13">
        <f t="shared" si="5"/>
        <v>83.608171999804682</v>
      </c>
      <c r="E46" s="13">
        <f t="shared" si="5"/>
        <v>90.060423824232601</v>
      </c>
      <c r="F46" s="13" t="e">
        <f t="shared" si="5"/>
        <v>#DIV/0!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92.692924612368572</v>
      </c>
      <c r="C49" s="28">
        <f t="shared" ref="C49:F49" si="6">(C12/C13)*100</f>
        <v>97.863013698630141</v>
      </c>
      <c r="D49" s="28">
        <f t="shared" si="6"/>
        <v>87.060702875399372</v>
      </c>
      <c r="E49" s="28">
        <f t="shared" si="6"/>
        <v>91.752170481452239</v>
      </c>
      <c r="F49" s="28" t="e">
        <f t="shared" si="6"/>
        <v>#DIV/0!</v>
      </c>
      <c r="G49" s="11"/>
    </row>
    <row r="50" spans="1:7" x14ac:dyDescent="0.25">
      <c r="A50" s="7" t="s">
        <v>20</v>
      </c>
      <c r="B50" s="13">
        <f>B18/B19*100</f>
        <v>23.031730803263446</v>
      </c>
      <c r="C50" s="13">
        <f t="shared" ref="C50:F50" si="7">C18/C19*100</f>
        <v>23.426634151876367</v>
      </c>
      <c r="D50" s="13">
        <f t="shared" si="7"/>
        <v>21.530863255185036</v>
      </c>
      <c r="E50" s="13">
        <f t="shared" si="7"/>
        <v>23.032485981181459</v>
      </c>
      <c r="F50" s="13" t="e">
        <f t="shared" si="7"/>
        <v>#DIV/0!</v>
      </c>
    </row>
    <row r="51" spans="1:7" x14ac:dyDescent="0.25">
      <c r="A51" s="7" t="s">
        <v>21</v>
      </c>
      <c r="B51" s="13">
        <f>(B49+B50)/2</f>
        <v>57.862327707816007</v>
      </c>
      <c r="C51" s="13">
        <f t="shared" ref="C51:F51" si="8">(C49+C50)/2</f>
        <v>60.644823925253256</v>
      </c>
      <c r="D51" s="13">
        <f t="shared" si="8"/>
        <v>54.295783065292206</v>
      </c>
      <c r="E51" s="13">
        <f t="shared" si="8"/>
        <v>57.392328231316853</v>
      </c>
      <c r="F51" s="13" t="e">
        <f t="shared" si="8"/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-3.4467821782178221</v>
      </c>
      <c r="C57" s="13">
        <f t="shared" ref="C57:F57" si="9">((C12/C10)-1)*100</f>
        <v>8.067769261799107</v>
      </c>
      <c r="D57" s="13">
        <f t="shared" si="9"/>
        <v>8.0634500991407787</v>
      </c>
      <c r="E57" s="13">
        <f t="shared" si="9"/>
        <v>-14.68933463796478</v>
      </c>
      <c r="F57" s="13" t="e">
        <f t="shared" si="9"/>
        <v>#DIV/0!</v>
      </c>
    </row>
    <row r="58" spans="1:7" x14ac:dyDescent="0.25">
      <c r="A58" s="7" t="s">
        <v>26</v>
      </c>
      <c r="B58" s="13">
        <f>((B33/B32)-1)*100</f>
        <v>-4.6545417170518295</v>
      </c>
      <c r="C58" s="13">
        <f t="shared" ref="C58:F58" si="10">((C33/C32)-1)*100</f>
        <v>5.1216687101450775</v>
      </c>
      <c r="D58" s="13">
        <f t="shared" si="10"/>
        <v>4.5754962354284334</v>
      </c>
      <c r="E58" s="13">
        <f t="shared" si="10"/>
        <v>-9.7523033346305752</v>
      </c>
      <c r="F58" s="13" t="e">
        <f t="shared" si="10"/>
        <v>#DIV/0!</v>
      </c>
      <c r="G58" s="13"/>
    </row>
    <row r="59" spans="1:7" x14ac:dyDescent="0.25">
      <c r="A59" s="7" t="s">
        <v>27</v>
      </c>
      <c r="B59" s="13">
        <f>((B35/B34)-1)*100</f>
        <v>-1.2508744566786856</v>
      </c>
      <c r="C59" s="13">
        <f t="shared" ref="C59:F59" si="11">((C35/C34)-1)*100</f>
        <v>-2.7261602342479874</v>
      </c>
      <c r="D59" s="13">
        <f t="shared" si="11"/>
        <v>-3.2276906396310645</v>
      </c>
      <c r="E59" s="13">
        <f t="shared" si="11"/>
        <v>5.7871208510481109</v>
      </c>
      <c r="F59" s="13" t="e">
        <f t="shared" si="11"/>
        <v>#DIV/0!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B17/(B11*3)</f>
        <v>169321.56764808972</v>
      </c>
      <c r="C62" s="5">
        <f t="shared" ref="C62:F63" si="12">C17/(C11*3)</f>
        <v>161368.98739726027</v>
      </c>
      <c r="D62" s="5">
        <f t="shared" si="12"/>
        <v>59852.318392581146</v>
      </c>
      <c r="E62" s="5">
        <f>E17/(E11*3)</f>
        <v>229687.50019327406</v>
      </c>
      <c r="F62" s="5" t="e">
        <f>F17/(F11*3)</f>
        <v>#DIV/0!</v>
      </c>
    </row>
    <row r="63" spans="1:7" x14ac:dyDescent="0.25">
      <c r="A63" s="7" t="s">
        <v>47</v>
      </c>
      <c r="B63" s="5">
        <f>$B$18/(B12*3)</f>
        <v>166361.57778632312</v>
      </c>
      <c r="C63" s="5">
        <f>C18/(C12*3)</f>
        <v>148220</v>
      </c>
      <c r="D63" s="5">
        <f t="shared" si="12"/>
        <v>58961.644036697246</v>
      </c>
      <c r="E63" s="5">
        <f t="shared" si="12"/>
        <v>230648.36734050181</v>
      </c>
      <c r="F63" s="5" t="e">
        <f t="shared" si="12"/>
        <v>#DIV/0!</v>
      </c>
      <c r="G63" s="11"/>
    </row>
    <row r="64" spans="1:7" x14ac:dyDescent="0.25">
      <c r="A64" s="7" t="s">
        <v>29</v>
      </c>
      <c r="B64" s="13">
        <f>(B62/B63)*B46</f>
        <v>91.960557650289658</v>
      </c>
      <c r="C64" s="13">
        <f t="shared" ref="C64:F64" si="13">(C62/C63)*C46</f>
        <v>102.20385681622965</v>
      </c>
      <c r="D64" s="13">
        <f t="shared" si="13"/>
        <v>84.871156707222411</v>
      </c>
      <c r="E64" s="13">
        <f t="shared" si="13"/>
        <v>89.685237546020801</v>
      </c>
      <c r="F64" s="13" t="e">
        <f t="shared" si="13"/>
        <v>#DIV/0!</v>
      </c>
    </row>
    <row r="65" spans="1:7" x14ac:dyDescent="0.25">
      <c r="A65" s="7" t="s">
        <v>48</v>
      </c>
      <c r="B65" s="13">
        <f>B17/B11</f>
        <v>507964.70294426917</v>
      </c>
      <c r="C65" s="13">
        <f t="shared" ref="C65:F66" si="14">C17/C11</f>
        <v>484106.9621917808</v>
      </c>
      <c r="D65" s="13">
        <f t="shared" si="14"/>
        <v>179556.95517774342</v>
      </c>
      <c r="E65" s="13">
        <f t="shared" si="14"/>
        <v>689062.50057982223</v>
      </c>
      <c r="F65" s="13" t="e">
        <f t="shared" si="14"/>
        <v>#DIV/0!</v>
      </c>
    </row>
    <row r="66" spans="1:7" x14ac:dyDescent="0.25">
      <c r="A66" s="7" t="s">
        <v>49</v>
      </c>
      <c r="B66" s="13">
        <f>B18/B12</f>
        <v>499084.73335896939</v>
      </c>
      <c r="C66" s="13">
        <f t="shared" si="14"/>
        <v>444660</v>
      </c>
      <c r="D66" s="13">
        <f t="shared" si="14"/>
        <v>176884.93211009173</v>
      </c>
      <c r="E66" s="13">
        <f t="shared" si="14"/>
        <v>691945.10202150536</v>
      </c>
      <c r="F66" s="13" t="e">
        <f t="shared" si="14"/>
        <v>#DIV/0!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91.931354180772814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97.416423013827483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89</v>
      </c>
    </row>
    <row r="75" spans="1:7" x14ac:dyDescent="0.25">
      <c r="A75" t="s">
        <v>90</v>
      </c>
      <c r="B75" s="15"/>
      <c r="C75" s="15"/>
      <c r="D75" s="15"/>
    </row>
    <row r="76" spans="1:7" x14ac:dyDescent="0.25">
      <c r="A76" t="s">
        <v>68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46" t="s">
        <v>139</v>
      </c>
    </row>
    <row r="83" spans="1:1" x14ac:dyDescent="0.25">
      <c r="A83" t="s">
        <v>135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90" zoomScaleNormal="90" workbookViewId="0">
      <pane xSplit="1" ySplit="5" topLeftCell="B60" activePane="bottomRight" state="frozen"/>
      <selection activeCell="D40" sqref="D40"/>
      <selection pane="topRight" activeCell="D40" sqref="D40"/>
      <selection pane="bottomLeft" activeCell="D40" sqref="D40"/>
      <selection pane="bottomRight" activeCell="A81" sqref="A81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9" t="s">
        <v>138</v>
      </c>
      <c r="B2" s="39"/>
      <c r="C2" s="39"/>
      <c r="D2" s="39"/>
      <c r="E2" s="39"/>
    </row>
    <row r="4" spans="1:8" ht="15" customHeight="1" x14ac:dyDescent="0.25">
      <c r="A4" s="40" t="s">
        <v>0</v>
      </c>
      <c r="B4" s="18" t="s">
        <v>33</v>
      </c>
      <c r="C4" s="44" t="s">
        <v>2</v>
      </c>
      <c r="D4" s="44"/>
      <c r="E4" s="44"/>
      <c r="F4" s="44"/>
    </row>
    <row r="5" spans="1:8" ht="30.75" thickBot="1" x14ac:dyDescent="0.3">
      <c r="A5" s="41"/>
      <c r="B5" s="1" t="s">
        <v>34</v>
      </c>
      <c r="C5" s="1" t="s">
        <v>40</v>
      </c>
      <c r="D5" s="1" t="s">
        <v>41</v>
      </c>
      <c r="E5" s="1" t="s">
        <v>3</v>
      </c>
      <c r="F5" s="38" t="s">
        <v>136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64</v>
      </c>
      <c r="B10" s="27">
        <f>SUM(C10:F10)</f>
        <v>5928.333333333333</v>
      </c>
      <c r="C10" s="3">
        <v>1768.3333333333333</v>
      </c>
      <c r="D10" s="3">
        <v>1064</v>
      </c>
      <c r="E10" s="5">
        <v>3096</v>
      </c>
      <c r="F10" s="5">
        <v>0</v>
      </c>
      <c r="G10" s="3"/>
      <c r="H10" s="11"/>
    </row>
    <row r="11" spans="1:8" x14ac:dyDescent="0.25">
      <c r="A11" s="6" t="s">
        <v>106</v>
      </c>
      <c r="B11" s="27">
        <f t="shared" ref="B11:B13" si="0">SUM(C11:F11)</f>
        <v>6907</v>
      </c>
      <c r="C11" s="5">
        <v>1825</v>
      </c>
      <c r="D11" s="5">
        <v>1349</v>
      </c>
      <c r="E11" s="5">
        <v>3277</v>
      </c>
      <c r="F11" s="5">
        <v>456</v>
      </c>
      <c r="G11" s="22"/>
      <c r="H11" s="11"/>
    </row>
    <row r="12" spans="1:8" x14ac:dyDescent="0.25">
      <c r="A12" s="6" t="s">
        <v>107</v>
      </c>
      <c r="B12" s="27">
        <f t="shared" si="0"/>
        <v>6151.3333333333339</v>
      </c>
      <c r="C12" s="3">
        <v>1771</v>
      </c>
      <c r="D12" s="3">
        <v>1186.6666666666667</v>
      </c>
      <c r="E12" s="5">
        <v>3128.6666666666665</v>
      </c>
      <c r="F12" s="5">
        <v>65</v>
      </c>
      <c r="H12" s="11"/>
    </row>
    <row r="13" spans="1:8" x14ac:dyDescent="0.25">
      <c r="A13" s="6" t="s">
        <v>84</v>
      </c>
      <c r="B13" s="27">
        <f t="shared" si="0"/>
        <v>6129</v>
      </c>
      <c r="C13" s="5">
        <v>1825</v>
      </c>
      <c r="D13" s="5">
        <v>1266</v>
      </c>
      <c r="E13" s="5">
        <v>2582</v>
      </c>
      <c r="F13" s="5">
        <v>456</v>
      </c>
      <c r="G13" s="22"/>
      <c r="H13" s="11"/>
    </row>
    <row r="14" spans="1:8" x14ac:dyDescent="0.25">
      <c r="F14" s="7"/>
      <c r="G14" s="19"/>
    </row>
    <row r="15" spans="1:8" x14ac:dyDescent="0.25">
      <c r="A15" s="8" t="s">
        <v>5</v>
      </c>
      <c r="F15" s="7"/>
      <c r="G15" s="20"/>
    </row>
    <row r="16" spans="1:8" x14ac:dyDescent="0.25">
      <c r="A16" s="4" t="s">
        <v>64</v>
      </c>
      <c r="B16" s="27">
        <f>SUM(C16:F16)</f>
        <v>3152862680.6199999</v>
      </c>
      <c r="C16" s="5">
        <v>870140721.64999998</v>
      </c>
      <c r="D16" s="5">
        <v>220412436</v>
      </c>
      <c r="E16" s="5">
        <v>2062309522.97</v>
      </c>
      <c r="F16" s="5">
        <v>0</v>
      </c>
      <c r="H16" s="11"/>
    </row>
    <row r="17" spans="1:7" x14ac:dyDescent="0.25">
      <c r="A17" s="6" t="s">
        <v>106</v>
      </c>
      <c r="B17" s="5">
        <f>SUM(C17:F17)</f>
        <v>4160162662</v>
      </c>
      <c r="C17" s="3">
        <v>908099925</v>
      </c>
      <c r="D17" s="3">
        <v>242129220</v>
      </c>
      <c r="E17" s="5">
        <v>2256933517</v>
      </c>
      <c r="F17" s="5">
        <v>753000000</v>
      </c>
      <c r="G17" s="19"/>
    </row>
    <row r="18" spans="1:7" x14ac:dyDescent="0.25">
      <c r="A18" s="6" t="s">
        <v>107</v>
      </c>
      <c r="B18" s="26">
        <f>SUM(C18:F18)</f>
        <v>4318091750.1700001</v>
      </c>
      <c r="C18" s="5">
        <v>958226618.51999998</v>
      </c>
      <c r="D18" s="5">
        <v>236968190.75</v>
      </c>
      <c r="E18" s="5">
        <v>2374862222.8999996</v>
      </c>
      <c r="F18" s="5">
        <v>748034718</v>
      </c>
    </row>
    <row r="19" spans="1:7" x14ac:dyDescent="0.25">
      <c r="A19" s="6" t="s">
        <v>84</v>
      </c>
      <c r="B19" s="3">
        <f>SUM(C19:F19)</f>
        <v>12188585410</v>
      </c>
      <c r="C19" s="9">
        <v>3414604131</v>
      </c>
      <c r="D19" s="5">
        <v>905262528</v>
      </c>
      <c r="E19" s="5">
        <v>7115718751</v>
      </c>
      <c r="F19" s="5">
        <v>753000000</v>
      </c>
    </row>
    <row r="20" spans="1:7" x14ac:dyDescent="0.25">
      <c r="A20" s="6" t="s">
        <v>108</v>
      </c>
      <c r="B20" s="5">
        <f>SUM(C20:F20)</f>
        <v>4318091750.1700001</v>
      </c>
      <c r="C20" s="5">
        <f>C18</f>
        <v>958226618.51999998</v>
      </c>
      <c r="D20" s="5">
        <f t="shared" ref="D20:F20" si="1">D18</f>
        <v>236968190.75</v>
      </c>
      <c r="E20" s="5">
        <f t="shared" si="1"/>
        <v>2374862222.8999996</v>
      </c>
      <c r="F20" s="5">
        <f t="shared" si="1"/>
        <v>748034718</v>
      </c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6</v>
      </c>
      <c r="B22" s="5"/>
      <c r="C22" s="5"/>
      <c r="D22" s="5"/>
      <c r="E22" s="5"/>
      <c r="F22" s="5"/>
    </row>
    <row r="23" spans="1:7" x14ac:dyDescent="0.25">
      <c r="A23" s="4" t="s">
        <v>106</v>
      </c>
      <c r="B23" s="5">
        <f>B17</f>
        <v>4160162662</v>
      </c>
      <c r="C23" s="5"/>
      <c r="D23" s="5"/>
      <c r="E23" s="5"/>
      <c r="F23" s="5"/>
      <c r="G23" s="11"/>
    </row>
    <row r="24" spans="1:7" x14ac:dyDescent="0.25">
      <c r="A24" s="4" t="s">
        <v>107</v>
      </c>
      <c r="B24" s="5">
        <v>4108667141.5799999</v>
      </c>
      <c r="C24" s="23"/>
      <c r="D24" s="23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7</v>
      </c>
      <c r="B26" s="7"/>
      <c r="C26" s="7"/>
      <c r="D26" s="7"/>
      <c r="E26" s="7"/>
      <c r="F26" s="7"/>
    </row>
    <row r="27" spans="1:7" x14ac:dyDescent="0.25">
      <c r="A27" s="4" t="s">
        <v>65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</row>
    <row r="28" spans="1:7" x14ac:dyDescent="0.25">
      <c r="A28" s="4" t="s">
        <v>109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7" x14ac:dyDescent="0.25">
      <c r="A29" s="4" t="s">
        <v>8</v>
      </c>
      <c r="B29" s="5">
        <v>132851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2" t="s">
        <v>9</v>
      </c>
      <c r="B31" s="7"/>
      <c r="C31" s="7"/>
      <c r="D31" s="7"/>
      <c r="E31" s="7"/>
      <c r="F31" s="7"/>
    </row>
    <row r="32" spans="1:7" x14ac:dyDescent="0.25">
      <c r="A32" s="7" t="s">
        <v>66</v>
      </c>
      <c r="B32" s="5">
        <f>B16/B27</f>
        <v>3184709778.4040403</v>
      </c>
      <c r="C32" s="5">
        <f>C16/C27</f>
        <v>878930021.8686868</v>
      </c>
      <c r="D32" s="5">
        <f>D16/D27</f>
        <v>222638824.24242425</v>
      </c>
      <c r="E32" s="5">
        <f>E16/E27</f>
        <v>2083140932.2929294</v>
      </c>
      <c r="F32" s="5">
        <f>F16/F27</f>
        <v>0</v>
      </c>
    </row>
    <row r="33" spans="1:8" x14ac:dyDescent="0.25">
      <c r="A33" s="7" t="s">
        <v>110</v>
      </c>
      <c r="B33" s="5">
        <f>B18/B28</f>
        <v>4361708838.5555553</v>
      </c>
      <c r="C33" s="5">
        <f>C18/C28</f>
        <v>967905675.27272725</v>
      </c>
      <c r="D33" s="5">
        <f>D18/D28</f>
        <v>239361808.83838385</v>
      </c>
      <c r="E33" s="5">
        <f>E18/E28</f>
        <v>2398850730.2020197</v>
      </c>
      <c r="F33" s="5">
        <f>F18/F28</f>
        <v>755590624.24242425</v>
      </c>
    </row>
    <row r="34" spans="1:8" x14ac:dyDescent="0.25">
      <c r="A34" s="7" t="s">
        <v>67</v>
      </c>
      <c r="B34" s="27">
        <f>$B$32/(B10)</f>
        <v>537201.53698128322</v>
      </c>
      <c r="C34" s="27">
        <f>C32/(C10)</f>
        <v>497038.65515665605</v>
      </c>
      <c r="D34" s="27">
        <f>D32/(D10)</f>
        <v>209247.01526543632</v>
      </c>
      <c r="E34" s="27">
        <f>E32/(E10)</f>
        <v>672849.13833750947</v>
      </c>
      <c r="F34" s="27" t="e">
        <f>F32/(F10)</f>
        <v>#DIV/0!</v>
      </c>
      <c r="H34" s="11"/>
    </row>
    <row r="35" spans="1:8" x14ac:dyDescent="0.25">
      <c r="A35" s="7" t="s">
        <v>111</v>
      </c>
      <c r="B35" s="27">
        <f>$B$33/(B12)</f>
        <v>709067.22204761382</v>
      </c>
      <c r="C35" s="27">
        <f>C33/(C12)</f>
        <v>546530.59021610802</v>
      </c>
      <c r="D35" s="27">
        <f>D33/(D12)</f>
        <v>201709.38947054817</v>
      </c>
      <c r="E35" s="27">
        <f>E33/(E12)</f>
        <v>766732.60074643721</v>
      </c>
      <c r="F35" s="27">
        <f>F33/(F12)</f>
        <v>11624471.142191142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F37" s="7"/>
    </row>
    <row r="38" spans="1:8" x14ac:dyDescent="0.25">
      <c r="F38" s="7"/>
    </row>
    <row r="39" spans="1:8" x14ac:dyDescent="0.25">
      <c r="A39" t="s">
        <v>11</v>
      </c>
      <c r="F39" s="7"/>
    </row>
    <row r="40" spans="1:8" x14ac:dyDescent="0.25">
      <c r="A40" t="s">
        <v>12</v>
      </c>
      <c r="B40" s="13">
        <f>B11/B29*100</f>
        <v>5.1990575908348449</v>
      </c>
      <c r="C40" s="13"/>
      <c r="D40" s="13"/>
      <c r="E40" s="13"/>
      <c r="F40" s="13"/>
    </row>
    <row r="41" spans="1:8" x14ac:dyDescent="0.25">
      <c r="A41" t="s">
        <v>13</v>
      </c>
      <c r="B41" s="13">
        <f>B12/B29*100</f>
        <v>4.6302499291185875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89.059408329713833</v>
      </c>
      <c r="C44" s="13">
        <f t="shared" ref="C44:F44" si="2">C12/C11*100</f>
        <v>97.041095890410958</v>
      </c>
      <c r="D44" s="13">
        <f t="shared" si="2"/>
        <v>87.966394860390423</v>
      </c>
      <c r="E44" s="13">
        <f t="shared" si="2"/>
        <v>95.473502186959607</v>
      </c>
      <c r="F44" s="13">
        <f t="shared" si="2"/>
        <v>14.254385964912281</v>
      </c>
    </row>
    <row r="45" spans="1:8" x14ac:dyDescent="0.25">
      <c r="A45" t="s">
        <v>16</v>
      </c>
      <c r="B45" s="13">
        <f>B18/B17*100</f>
        <v>103.79622387395004</v>
      </c>
      <c r="C45" s="13">
        <f t="shared" ref="C45:F45" si="3">C18/C17*100</f>
        <v>105.51995349190233</v>
      </c>
      <c r="D45" s="13">
        <f t="shared" si="3"/>
        <v>97.868481445568605</v>
      </c>
      <c r="E45" s="13">
        <f t="shared" si="3"/>
        <v>105.22517411397898</v>
      </c>
      <c r="F45" s="13">
        <f t="shared" si="3"/>
        <v>99.340599999999995</v>
      </c>
    </row>
    <row r="46" spans="1:8" x14ac:dyDescent="0.25">
      <c r="A46" s="7" t="s">
        <v>17</v>
      </c>
      <c r="B46" s="13">
        <f>AVERAGE(B44:B45)</f>
        <v>96.427816101831937</v>
      </c>
      <c r="C46" s="13">
        <f t="shared" ref="C46:F46" si="4">AVERAGE(C44:C45)</f>
        <v>101.28052469115664</v>
      </c>
      <c r="D46" s="13">
        <f t="shared" si="4"/>
        <v>92.917438152979514</v>
      </c>
      <c r="E46" s="13">
        <f t="shared" si="4"/>
        <v>100.34933815046929</v>
      </c>
      <c r="F46" s="13">
        <f t="shared" si="4"/>
        <v>56.797492982456134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100.36438788274324</v>
      </c>
      <c r="C49" s="28">
        <f t="shared" ref="C49:F49" si="5">(C12/C13)*100</f>
        <v>97.041095890410958</v>
      </c>
      <c r="D49" s="28">
        <f t="shared" si="5"/>
        <v>93.733543970510809</v>
      </c>
      <c r="E49" s="28">
        <f t="shared" si="5"/>
        <v>121.1722179189259</v>
      </c>
      <c r="F49" s="28">
        <f t="shared" si="5"/>
        <v>14.254385964912281</v>
      </c>
      <c r="G49" s="11"/>
    </row>
    <row r="50" spans="1:7" x14ac:dyDescent="0.25">
      <c r="A50" s="7" t="s">
        <v>20</v>
      </c>
      <c r="B50" s="13">
        <f>B18/B19*100</f>
        <v>35.42734127807207</v>
      </c>
      <c r="C50" s="13">
        <f>C18/C19*100</f>
        <v>28.06259764698914</v>
      </c>
      <c r="D50" s="13">
        <f>D18/D19*100</f>
        <v>26.176736959778367</v>
      </c>
      <c r="E50" s="13">
        <f>E18/E19*100</f>
        <v>33.374874780797811</v>
      </c>
      <c r="F50" s="13">
        <f>F18/F19*100</f>
        <v>99.340599999999995</v>
      </c>
    </row>
    <row r="51" spans="1:7" x14ac:dyDescent="0.25">
      <c r="A51" s="7" t="s">
        <v>21</v>
      </c>
      <c r="B51" s="13">
        <f>(B49+B50)/2</f>
        <v>67.895864580407661</v>
      </c>
      <c r="C51" s="13">
        <f t="shared" ref="C51:F51" si="6">(C49+C50)/2</f>
        <v>62.551846768700045</v>
      </c>
      <c r="D51" s="13">
        <f t="shared" si="6"/>
        <v>59.955140465144588</v>
      </c>
      <c r="E51" s="13">
        <f t="shared" si="6"/>
        <v>77.273546349861846</v>
      </c>
      <c r="F51" s="13">
        <f t="shared" si="6"/>
        <v>56.797492982456134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3.761596851279192</v>
      </c>
      <c r="C57" s="13">
        <f>((C12/C10)-1)*100</f>
        <v>0.15080113100849335</v>
      </c>
      <c r="D57" s="13">
        <f>((D12/D10)-1)*100</f>
        <v>11.528822055137855</v>
      </c>
      <c r="E57" s="13">
        <f>((E12/E10)-1)*100</f>
        <v>1.0551248923341916</v>
      </c>
      <c r="F57" s="13" t="e">
        <f>((F12/F10)-1)*100</f>
        <v>#DIV/0!</v>
      </c>
    </row>
    <row r="58" spans="1:7" x14ac:dyDescent="0.25">
      <c r="A58" s="7" t="s">
        <v>26</v>
      </c>
      <c r="B58" s="13">
        <f>((B33/B32)-1)*100</f>
        <v>36.957812235604926</v>
      </c>
      <c r="C58" s="13">
        <f t="shared" ref="C58:F58" si="7">((C33/C32)-1)*100</f>
        <v>10.123178317981441</v>
      </c>
      <c r="D58" s="13">
        <f t="shared" si="7"/>
        <v>7.5112616377054131</v>
      </c>
      <c r="E58" s="13">
        <f t="shared" si="7"/>
        <v>15.155469945165256</v>
      </c>
      <c r="F58" s="13" t="e">
        <f t="shared" si="7"/>
        <v>#DIV/0!</v>
      </c>
      <c r="G58" s="13"/>
    </row>
    <row r="59" spans="1:7" x14ac:dyDescent="0.25">
      <c r="A59" s="7" t="s">
        <v>27</v>
      </c>
      <c r="B59" s="13">
        <f>((B35/B34)-1)*100</f>
        <v>31.992776124972</v>
      </c>
      <c r="C59" s="13">
        <f>((C35/C34)-1)*100</f>
        <v>9.9573613734032627</v>
      </c>
      <c r="D59" s="13">
        <f>((D35/D34)-1)*100</f>
        <v>-3.6022620372034631</v>
      </c>
      <c r="E59" s="13">
        <f>((E35/E34)-1)*100</f>
        <v>13.953122187374278</v>
      </c>
      <c r="F59" s="13" t="e">
        <f>((F35/F34)-1)*100</f>
        <v>#DIV/0!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B17/(B11*3)</f>
        <v>200770.3615655615</v>
      </c>
      <c r="C62" s="5">
        <f t="shared" ref="C62:F63" si="8">C17/(C11*3)</f>
        <v>165863</v>
      </c>
      <c r="D62" s="5">
        <f t="shared" si="8"/>
        <v>59829.310600444776</v>
      </c>
      <c r="E62" s="5">
        <f t="shared" si="8"/>
        <v>229573.13772759639</v>
      </c>
      <c r="F62" s="5">
        <f t="shared" si="8"/>
        <v>550438.59649122809</v>
      </c>
    </row>
    <row r="63" spans="1:7" x14ac:dyDescent="0.25">
      <c r="A63" s="7" t="s">
        <v>47</v>
      </c>
      <c r="B63" s="5">
        <f>$B$18/(B12*3)</f>
        <v>233992.1832757126</v>
      </c>
      <c r="C63" s="5">
        <f>C18/(C12*3)</f>
        <v>180355.09477131563</v>
      </c>
      <c r="D63" s="5">
        <f t="shared" si="8"/>
        <v>66564.098525280904</v>
      </c>
      <c r="E63" s="5">
        <f t="shared" si="8"/>
        <v>253021.75824632426</v>
      </c>
      <c r="F63" s="5">
        <f t="shared" si="8"/>
        <v>3836075.4769230769</v>
      </c>
      <c r="G63" s="11"/>
    </row>
    <row r="64" spans="1:7" x14ac:dyDescent="0.25">
      <c r="A64" s="7" t="s">
        <v>29</v>
      </c>
      <c r="B64" s="13">
        <f>(B62/B63)*B46</f>
        <v>82.737154860128797</v>
      </c>
      <c r="C64" s="13">
        <f>(C62/C63)*C46</f>
        <v>93.142318425490046</v>
      </c>
      <c r="D64" s="13">
        <f>(D62/D63)*D46</f>
        <v>83.516285664724535</v>
      </c>
      <c r="E64" s="13">
        <f>E62/E63*E46</f>
        <v>91.049531027537654</v>
      </c>
      <c r="F64" s="13">
        <f>F62/F63*F46</f>
        <v>8.1498741381804276</v>
      </c>
      <c r="G64" s="11"/>
    </row>
    <row r="65" spans="1:7" x14ac:dyDescent="0.25">
      <c r="A65" s="7" t="s">
        <v>48</v>
      </c>
      <c r="B65" s="13">
        <f>B17/B11</f>
        <v>602311.0846966845</v>
      </c>
      <c r="C65" s="13">
        <f t="shared" ref="C65:F66" si="9">C17/C11</f>
        <v>497589</v>
      </c>
      <c r="D65" s="13">
        <f t="shared" si="9"/>
        <v>179487.93180133431</v>
      </c>
      <c r="E65" s="13">
        <f t="shared" si="9"/>
        <v>688719.41318278911</v>
      </c>
      <c r="F65" s="13">
        <f t="shared" si="9"/>
        <v>1651315.7894736843</v>
      </c>
      <c r="G65" s="11"/>
    </row>
    <row r="66" spans="1:7" x14ac:dyDescent="0.25">
      <c r="A66" s="7" t="s">
        <v>49</v>
      </c>
      <c r="B66" s="13">
        <f>B18/B12</f>
        <v>701976.54982713773</v>
      </c>
      <c r="C66" s="13">
        <f t="shared" si="9"/>
        <v>541065.28431394696</v>
      </c>
      <c r="D66" s="13">
        <f t="shared" si="9"/>
        <v>199692.2955758427</v>
      </c>
      <c r="E66" s="13">
        <f t="shared" si="9"/>
        <v>759065.27473897289</v>
      </c>
      <c r="F66" s="13">
        <f t="shared" si="9"/>
        <v>11508226.430769231</v>
      </c>
      <c r="G66" s="11"/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98.762175313711325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105.09714224524562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89</v>
      </c>
    </row>
    <row r="75" spans="1:7" x14ac:dyDescent="0.25">
      <c r="A75" t="s">
        <v>90</v>
      </c>
      <c r="B75" s="15"/>
      <c r="C75" s="15"/>
      <c r="D75" s="15"/>
    </row>
    <row r="76" spans="1:7" x14ac:dyDescent="0.25">
      <c r="A76" t="s">
        <v>112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46" t="s">
        <v>139</v>
      </c>
    </row>
    <row r="83" spans="1:1" x14ac:dyDescent="0.25">
      <c r="A83" t="s">
        <v>135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70" zoomScaleNormal="70" workbookViewId="0">
      <pane xSplit="1" ySplit="5" topLeftCell="B54" activePane="bottomRight" state="frozen"/>
      <selection activeCell="D40" sqref="D40"/>
      <selection pane="topRight" activeCell="D40" sqref="D40"/>
      <selection pane="bottomLeft" activeCell="D40" sqref="D40"/>
      <selection pane="bottomRight" activeCell="A81" sqref="A81"/>
    </sheetView>
  </sheetViews>
  <sheetFormatPr baseColWidth="10" defaultColWidth="11.42578125" defaultRowHeight="15" x14ac:dyDescent="0.25"/>
  <cols>
    <col min="1" max="1" width="55.140625" customWidth="1"/>
    <col min="2" max="2" width="19.28515625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9" t="s">
        <v>113</v>
      </c>
      <c r="B2" s="39"/>
      <c r="C2" s="39"/>
      <c r="D2" s="39"/>
      <c r="E2" s="39"/>
    </row>
    <row r="4" spans="1:8" x14ac:dyDescent="0.25">
      <c r="A4" s="40" t="s">
        <v>0</v>
      </c>
      <c r="B4" s="18" t="s">
        <v>33</v>
      </c>
      <c r="C4" s="44" t="s">
        <v>2</v>
      </c>
      <c r="D4" s="44"/>
      <c r="E4" s="44"/>
      <c r="F4" s="44"/>
    </row>
    <row r="5" spans="1:8" ht="30.75" thickBot="1" x14ac:dyDescent="0.3">
      <c r="A5" s="41"/>
      <c r="B5" s="1" t="s">
        <v>34</v>
      </c>
      <c r="C5" s="1" t="s">
        <v>40</v>
      </c>
      <c r="D5" s="1" t="s">
        <v>41</v>
      </c>
      <c r="E5" s="1" t="s">
        <v>3</v>
      </c>
      <c r="F5" s="38" t="s">
        <v>136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69</v>
      </c>
      <c r="B10" s="27">
        <f>SUM(C10:F10)</f>
        <v>5083.6666666666661</v>
      </c>
      <c r="C10" s="5">
        <f>(+'I Trimestre'!C10+'II Trimestre'!C10)/2</f>
        <v>1660.1666666666665</v>
      </c>
      <c r="D10" s="5">
        <f>(+'I Trimestre'!D10+'II Trimestre'!D10)/2</f>
        <v>982.83333333333337</v>
      </c>
      <c r="E10" s="5">
        <f>(+'I Trimestre'!E10+'II Trimestre'!E10)/2</f>
        <v>2440.6666666666665</v>
      </c>
      <c r="F10" s="5">
        <f>+'I Trimestre'!F10+'II Trimestre'!F10/2</f>
        <v>0</v>
      </c>
      <c r="G10" s="3"/>
      <c r="H10" s="11"/>
    </row>
    <row r="11" spans="1:8" x14ac:dyDescent="0.25">
      <c r="A11" s="6" t="s">
        <v>114</v>
      </c>
      <c r="B11" s="27">
        <f t="shared" ref="B11:B12" si="0">SUM(C11:F11)</f>
        <v>5517</v>
      </c>
      <c r="C11" s="5">
        <f>(+'I Trimestre'!C11+'II Trimestre'!C11)/2</f>
        <v>1825</v>
      </c>
      <c r="D11" s="5">
        <f>(+'I Trimestre'!D11+'II Trimestre'!D11)/2</f>
        <v>1211</v>
      </c>
      <c r="E11" s="5">
        <f>(+'I Trimestre'!E11+'II Trimestre'!E11)/2</f>
        <v>2481</v>
      </c>
      <c r="F11" s="5">
        <f>+'I Trimestre'!F11+'II Trimestre'!F11/2</f>
        <v>0</v>
      </c>
      <c r="G11" s="19"/>
      <c r="H11" s="11"/>
    </row>
    <row r="12" spans="1:8" x14ac:dyDescent="0.25">
      <c r="A12" s="6" t="s">
        <v>115</v>
      </c>
      <c r="B12" s="27">
        <f t="shared" si="0"/>
        <v>4924.5</v>
      </c>
      <c r="C12" s="5">
        <f>(+'I Trimestre'!C12+'II Trimestre'!C12)/2</f>
        <v>1697.5</v>
      </c>
      <c r="D12" s="5">
        <f>(+'I Trimestre'!D12+'II Trimestre'!D12)/2</f>
        <v>1057</v>
      </c>
      <c r="E12" s="5">
        <f>(+'I Trimestre'!E12+'II Trimestre'!E12)/2</f>
        <v>2170</v>
      </c>
      <c r="F12" s="5">
        <f>+'I Trimestre'!F12+'II Trimestre'!F12/2</f>
        <v>0</v>
      </c>
      <c r="H12" s="11"/>
    </row>
    <row r="13" spans="1:8" x14ac:dyDescent="0.25">
      <c r="A13" s="6" t="s">
        <v>84</v>
      </c>
      <c r="B13" s="34">
        <f>SUM(C13:F13)</f>
        <v>5523</v>
      </c>
      <c r="C13" s="5">
        <f>+'II Trimestre'!C13</f>
        <v>1825</v>
      </c>
      <c r="D13" s="5">
        <f>+'II Trimestre'!D13</f>
        <v>1211</v>
      </c>
      <c r="E13" s="5">
        <f>+'II Trimestre'!E13</f>
        <v>2487</v>
      </c>
      <c r="F13" s="5">
        <f>+'II Trimestre'!F13</f>
        <v>0</v>
      </c>
      <c r="G13" s="22"/>
    </row>
    <row r="14" spans="1:8" x14ac:dyDescent="0.25">
      <c r="F14" s="7"/>
      <c r="G14" s="37"/>
    </row>
    <row r="15" spans="1:8" x14ac:dyDescent="0.25">
      <c r="A15" s="8" t="s">
        <v>5</v>
      </c>
      <c r="F15" s="7"/>
      <c r="G15" s="20"/>
    </row>
    <row r="16" spans="1:8" x14ac:dyDescent="0.25">
      <c r="A16" s="4" t="s">
        <v>69</v>
      </c>
      <c r="B16" s="27">
        <f>SUM(C16:F16)</f>
        <v>5099316590</v>
      </c>
      <c r="C16" s="5">
        <f>+'I Trimestre'!C16+'II Trimestre'!C16</f>
        <v>1533117432</v>
      </c>
      <c r="D16" s="5">
        <f>+'I Trimestre'!D16+'II Trimestre'!D16</f>
        <v>363042908</v>
      </c>
      <c r="E16" s="5">
        <f>+'I Trimestre'!E16+'II Trimestre'!E16</f>
        <v>3203156250</v>
      </c>
      <c r="F16" s="5">
        <f>+'I Trimestre'!F16+'II Trimestre'!F16</f>
        <v>0</v>
      </c>
      <c r="H16" s="11"/>
    </row>
    <row r="17" spans="1:7" x14ac:dyDescent="0.25">
      <c r="A17" s="6" t="s">
        <v>114</v>
      </c>
      <c r="B17" s="27">
        <f>SUM(C17:F17)</f>
        <v>5473383110</v>
      </c>
      <c r="C17" s="5">
        <f>+'I Trimestre'!C17+'II Trimestre'!C17</f>
        <v>1623009000</v>
      </c>
      <c r="D17" s="5">
        <f>+'I Trimestre'!D17+'II Trimestre'!D17</f>
        <v>430786608</v>
      </c>
      <c r="E17" s="5">
        <f>+'I Trimestre'!E17+'II Trimestre'!E17</f>
        <v>3419587502</v>
      </c>
      <c r="F17" s="5">
        <f>+'I Trimestre'!F17+'II Trimestre'!F17</f>
        <v>0</v>
      </c>
      <c r="G17" s="19"/>
    </row>
    <row r="18" spans="1:7" x14ac:dyDescent="0.25">
      <c r="A18" s="6" t="s">
        <v>115</v>
      </c>
      <c r="B18" s="26">
        <f>SUM(C18:F18)</f>
        <v>4874422987.3999996</v>
      </c>
      <c r="C18" s="5">
        <f>+'I Trimestre'!C18+'II Trimestre'!C18</f>
        <v>1509472480</v>
      </c>
      <c r="D18" s="5">
        <f>+'I Trimestre'!D18+'II Trimestre'!D18</f>
        <v>374463008</v>
      </c>
      <c r="E18" s="5">
        <f>+'I Trimestre'!E18+'II Trimestre'!E18</f>
        <v>2990487499.4000001</v>
      </c>
      <c r="F18" s="5">
        <f>+'I Trimestre'!F18+'II Trimestre'!F18</f>
        <v>0</v>
      </c>
    </row>
    <row r="19" spans="1:7" x14ac:dyDescent="0.25">
      <c r="A19" s="6" t="s">
        <v>84</v>
      </c>
      <c r="B19" s="3">
        <f>SUM(C19:F19)</f>
        <v>10962844346</v>
      </c>
      <c r="C19" s="5">
        <f>+'II Trimestre'!C19</f>
        <v>3246018000</v>
      </c>
      <c r="D19" s="5">
        <f>+'II Trimestre'!D19</f>
        <v>861573216</v>
      </c>
      <c r="E19" s="5">
        <f>+'II Trimestre'!E19</f>
        <v>6855253130</v>
      </c>
      <c r="F19" s="5">
        <f>+'II Trimestre'!F19</f>
        <v>0</v>
      </c>
    </row>
    <row r="20" spans="1:7" x14ac:dyDescent="0.25">
      <c r="A20" s="6" t="s">
        <v>116</v>
      </c>
      <c r="B20" s="34">
        <f>SUM(C20:F20)</f>
        <v>4874422987.3999996</v>
      </c>
      <c r="C20" s="5">
        <f>+C18</f>
        <v>1509472480</v>
      </c>
      <c r="D20" s="5">
        <f t="shared" ref="D20:F20" si="1">+D18</f>
        <v>374463008</v>
      </c>
      <c r="E20" s="5">
        <f t="shared" si="1"/>
        <v>2990487499.4000001</v>
      </c>
      <c r="F20" s="5">
        <f t="shared" si="1"/>
        <v>0</v>
      </c>
      <c r="G20" s="22"/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6</v>
      </c>
      <c r="B22" s="5"/>
      <c r="C22" s="5"/>
      <c r="D22" s="5"/>
      <c r="E22" s="5"/>
      <c r="F22" s="5"/>
    </row>
    <row r="23" spans="1:7" x14ac:dyDescent="0.25">
      <c r="A23" s="4" t="s">
        <v>114</v>
      </c>
      <c r="B23" s="5">
        <f>B17</f>
        <v>5473383110</v>
      </c>
      <c r="C23" s="5"/>
      <c r="D23" s="5"/>
      <c r="E23" s="5"/>
      <c r="F23" s="5"/>
      <c r="G23" s="11"/>
    </row>
    <row r="24" spans="1:7" x14ac:dyDescent="0.25">
      <c r="A24" s="4" t="s">
        <v>115</v>
      </c>
      <c r="B24" s="5">
        <f>'I Trimestre'!B24+'II Trimestre'!B24</f>
        <v>5096278992.9799995</v>
      </c>
      <c r="C24" s="45"/>
      <c r="D24" s="4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7</v>
      </c>
      <c r="B26" s="7"/>
      <c r="C26" s="7"/>
      <c r="D26" s="7"/>
      <c r="E26" s="7"/>
      <c r="F26" s="7"/>
    </row>
    <row r="27" spans="1:7" x14ac:dyDescent="0.25">
      <c r="A27" s="4" t="s">
        <v>70</v>
      </c>
      <c r="B27" s="36">
        <v>0.97</v>
      </c>
      <c r="C27" s="36">
        <v>0.97</v>
      </c>
      <c r="D27" s="36">
        <v>0.97</v>
      </c>
      <c r="E27" s="36">
        <v>0.97</v>
      </c>
      <c r="F27" s="36">
        <v>0.97</v>
      </c>
    </row>
    <row r="28" spans="1:7" x14ac:dyDescent="0.25">
      <c r="A28" s="4" t="s">
        <v>117</v>
      </c>
      <c r="B28" s="36">
        <v>1</v>
      </c>
      <c r="C28" s="36">
        <v>1</v>
      </c>
      <c r="D28" s="36">
        <v>1</v>
      </c>
      <c r="E28" s="36">
        <v>1</v>
      </c>
      <c r="F28" s="36">
        <v>1</v>
      </c>
    </row>
    <row r="29" spans="1:7" x14ac:dyDescent="0.25">
      <c r="A29" s="4" t="s">
        <v>8</v>
      </c>
      <c r="B29" s="5">
        <v>132851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2" t="s">
        <v>9</v>
      </c>
      <c r="B31" s="7"/>
      <c r="C31" s="7"/>
      <c r="D31" s="7"/>
      <c r="E31" s="7"/>
      <c r="F31" s="7"/>
    </row>
    <row r="32" spans="1:7" x14ac:dyDescent="0.25">
      <c r="A32" s="7" t="s">
        <v>71</v>
      </c>
      <c r="B32" s="5">
        <f>B16/B27</f>
        <v>5257027412.3711338</v>
      </c>
      <c r="C32" s="5">
        <f>C16/C27</f>
        <v>1580533435.0515463</v>
      </c>
      <c r="D32" s="5">
        <f>D16/D27</f>
        <v>374271039.17525774</v>
      </c>
      <c r="E32" s="5">
        <f>E16/E27</f>
        <v>3302222938.14433</v>
      </c>
      <c r="F32" s="5">
        <f>F16/F27</f>
        <v>0</v>
      </c>
    </row>
    <row r="33" spans="1:8" x14ac:dyDescent="0.25">
      <c r="A33" s="7" t="s">
        <v>118</v>
      </c>
      <c r="B33" s="5">
        <f>B18/B28</f>
        <v>4874422987.3999996</v>
      </c>
      <c r="C33" s="5">
        <f>C18/C28</f>
        <v>1509472480</v>
      </c>
      <c r="D33" s="5">
        <f>D18/D28</f>
        <v>374463008</v>
      </c>
      <c r="E33" s="5">
        <f>E18/E28</f>
        <v>2990487499.4000001</v>
      </c>
      <c r="F33" s="5">
        <f>F18/F28</f>
        <v>0</v>
      </c>
    </row>
    <row r="34" spans="1:8" x14ac:dyDescent="0.25">
      <c r="A34" s="7" t="s">
        <v>72</v>
      </c>
      <c r="B34" s="27">
        <f>$B$32/(B10)</f>
        <v>1034101.517088283</v>
      </c>
      <c r="C34" s="27">
        <f>C32/(C10)</f>
        <v>952032.98969072173</v>
      </c>
      <c r="D34" s="27">
        <f>D32/(D10)</f>
        <v>380808.24742268043</v>
      </c>
      <c r="E34" s="27">
        <f>E32/(E10)</f>
        <v>1353000.3843803592</v>
      </c>
      <c r="F34" s="27" t="e">
        <f>F32/(F10)</f>
        <v>#DIV/0!</v>
      </c>
      <c r="H34" s="11"/>
    </row>
    <row r="35" spans="1:8" x14ac:dyDescent="0.25">
      <c r="A35" s="7" t="s">
        <v>119</v>
      </c>
      <c r="B35" s="27">
        <f>$B$33/(B12)</f>
        <v>989831.04627881001</v>
      </c>
      <c r="C35" s="27">
        <f>C33/(C12)</f>
        <v>889232.68335787929</v>
      </c>
      <c r="D35" s="27">
        <f t="shared" ref="D35:F35" si="2">D33/(D12)</f>
        <v>354269.63859981077</v>
      </c>
      <c r="E35" s="27">
        <f t="shared" si="2"/>
        <v>1378104.8384331798</v>
      </c>
      <c r="F35" s="27" t="e">
        <f t="shared" si="2"/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F37" s="7"/>
    </row>
    <row r="38" spans="1:8" x14ac:dyDescent="0.25">
      <c r="F38" s="7"/>
    </row>
    <row r="39" spans="1:8" x14ac:dyDescent="0.25">
      <c r="A39" t="s">
        <v>11</v>
      </c>
      <c r="F39" s="7"/>
    </row>
    <row r="40" spans="1:8" x14ac:dyDescent="0.25">
      <c r="A40" t="s">
        <v>12</v>
      </c>
      <c r="B40" s="13">
        <f>(B11/(B29))*100</f>
        <v>4.152772655079751</v>
      </c>
      <c r="C40" s="13"/>
      <c r="D40" s="13"/>
      <c r="E40" s="13"/>
      <c r="F40" s="13"/>
    </row>
    <row r="41" spans="1:8" x14ac:dyDescent="0.25">
      <c r="A41" t="s">
        <v>13</v>
      </c>
      <c r="B41" s="13">
        <f>(B12/(B29))*100</f>
        <v>3.7067842921769505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89.260467645459485</v>
      </c>
      <c r="C44" s="13">
        <f>C12/C11*100</f>
        <v>93.013698630136986</v>
      </c>
      <c r="D44" s="13">
        <f>D12/D11*100</f>
        <v>87.283236994219649</v>
      </c>
      <c r="E44" s="13">
        <f>E12/E11*100</f>
        <v>87.464731962918179</v>
      </c>
      <c r="F44" s="13" t="e">
        <f>F12/F11*100</f>
        <v>#DIV/0!</v>
      </c>
    </row>
    <row r="45" spans="1:8" x14ac:dyDescent="0.25">
      <c r="A45" t="s">
        <v>16</v>
      </c>
      <c r="B45" s="13">
        <f>B18/B17*100</f>
        <v>89.056857330054498</v>
      </c>
      <c r="C45" s="13">
        <f>C18/C17*100</f>
        <v>93.004566210045652</v>
      </c>
      <c r="D45" s="13">
        <f>D18/D17*100</f>
        <v>86.92540600055051</v>
      </c>
      <c r="E45" s="13">
        <f>E18/E17*100</f>
        <v>87.451702804825615</v>
      </c>
      <c r="F45" s="13" t="e">
        <f>F18/F17*100</f>
        <v>#DIV/0!</v>
      </c>
    </row>
    <row r="46" spans="1:8" x14ac:dyDescent="0.25">
      <c r="A46" s="7" t="s">
        <v>17</v>
      </c>
      <c r="B46" s="13">
        <f>AVERAGE(B44:B45)</f>
        <v>89.158662487756999</v>
      </c>
      <c r="C46" s="13">
        <f>AVERAGE(C44:C45)</f>
        <v>93.009132420091319</v>
      </c>
      <c r="D46" s="13">
        <f>AVERAGE(D44:D45)</f>
        <v>87.104321497385087</v>
      </c>
      <c r="E46" s="13">
        <f>AVERAGE(E44:E45)</f>
        <v>87.458217383871897</v>
      </c>
      <c r="F46" s="13" t="e">
        <f>AVERAGE(F44:F45)</f>
        <v>#DIV/0!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89.163498098859321</v>
      </c>
      <c r="C49" s="28">
        <f t="shared" ref="C49:F49" si="3">(C12/C13)*100</f>
        <v>93.013698630136986</v>
      </c>
      <c r="D49" s="28">
        <f t="shared" si="3"/>
        <v>87.283236994219649</v>
      </c>
      <c r="E49" s="28">
        <f t="shared" si="3"/>
        <v>87.253719340570967</v>
      </c>
      <c r="F49" s="28" t="e">
        <f t="shared" si="3"/>
        <v>#DIV/0!</v>
      </c>
      <c r="G49" s="11"/>
    </row>
    <row r="50" spans="1:7" x14ac:dyDescent="0.25">
      <c r="A50" s="7" t="s">
        <v>20</v>
      </c>
      <c r="B50" s="13">
        <f>B18/B19*100</f>
        <v>44.463123196477056</v>
      </c>
      <c r="C50" s="13">
        <f>C18/C19*100</f>
        <v>46.502283105022826</v>
      </c>
      <c r="D50" s="13">
        <f>D18/D19*100</f>
        <v>43.462703000275255</v>
      </c>
      <c r="E50" s="13">
        <f>E18/E19*100</f>
        <v>43.623297968575528</v>
      </c>
      <c r="F50" s="13" t="e">
        <f>F18/F19*100</f>
        <v>#DIV/0!</v>
      </c>
    </row>
    <row r="51" spans="1:7" x14ac:dyDescent="0.25">
      <c r="A51" s="7" t="s">
        <v>21</v>
      </c>
      <c r="B51" s="13">
        <f>(B49+B50)/2</f>
        <v>66.813310647668189</v>
      </c>
      <c r="C51" s="13">
        <f>(C49+C50)/2</f>
        <v>69.757990867579906</v>
      </c>
      <c r="D51" s="13">
        <f>(D49+D50)/2</f>
        <v>65.372969997247452</v>
      </c>
      <c r="E51" s="13">
        <f>(E49+E50)/2</f>
        <v>65.438508654573241</v>
      </c>
      <c r="F51" s="13" t="e">
        <f>(F49+F50)/2</f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-3.1309422332961634</v>
      </c>
      <c r="C57" s="13">
        <f>((C12/C10)-1)*100</f>
        <v>2.2487702037948143</v>
      </c>
      <c r="D57" s="13">
        <f>((D12/D10)-1)*100</f>
        <v>7.5462099372562319</v>
      </c>
      <c r="E57" s="13">
        <f>((E12/E10)-1)*100</f>
        <v>-11.089866156787753</v>
      </c>
      <c r="F57" s="13" t="e">
        <f>((F12/F10)-1)*100</f>
        <v>#DIV/0!</v>
      </c>
    </row>
    <row r="58" spans="1:7" x14ac:dyDescent="0.25">
      <c r="A58" s="7" t="s">
        <v>26</v>
      </c>
      <c r="B58" s="13">
        <f>((B33/B32)-1)*100</f>
        <v>-7.2779613830958549</v>
      </c>
      <c r="C58" s="13">
        <f>((C33/C32)-1)*100</f>
        <v>-4.4960108704836577</v>
      </c>
      <c r="D58" s="13">
        <f>((D33/D32)-1)*100</f>
        <v>5.1291391705143852E-2</v>
      </c>
      <c r="E58" s="13">
        <f>((E33/E32)-1)*100</f>
        <v>-9.4401693823709003</v>
      </c>
      <c r="F58" s="13" t="e">
        <f>((F33/F32)-1)*100</f>
        <v>#DIV/0!</v>
      </c>
      <c r="G58" s="13"/>
    </row>
    <row r="59" spans="1:7" x14ac:dyDescent="0.25">
      <c r="A59" s="7" t="s">
        <v>27</v>
      </c>
      <c r="B59" s="13">
        <f>((B35/B34)-1)*100</f>
        <v>-4.2810565575926436</v>
      </c>
      <c r="C59" s="13">
        <f>((C35/C34)-1)*100</f>
        <v>-6.5964422465280119</v>
      </c>
      <c r="D59" s="13">
        <f>((D35/D34)-1)*100</f>
        <v>-6.9690215488985903</v>
      </c>
      <c r="E59" s="13">
        <f>((E35/E34)-1)*100</f>
        <v>1.8554654043441143</v>
      </c>
      <c r="F59" s="13" t="e">
        <f>((F35/F34)-1)*100</f>
        <v>#DIV/0!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B17/(B11*6)</f>
        <v>165349.01546734336</v>
      </c>
      <c r="C62" s="5">
        <f t="shared" ref="C62:F62" si="4">C17/(C11*6)</f>
        <v>148220</v>
      </c>
      <c r="D62" s="5">
        <f t="shared" si="4"/>
        <v>59288</v>
      </c>
      <c r="E62" s="5">
        <f t="shared" si="4"/>
        <v>229718.35966680103</v>
      </c>
      <c r="F62" s="5" t="e">
        <f t="shared" si="4"/>
        <v>#DIV/0!</v>
      </c>
    </row>
    <row r="63" spans="1:7" x14ac:dyDescent="0.25">
      <c r="A63" s="7" t="s">
        <v>47</v>
      </c>
      <c r="B63" s="5">
        <f>B18/(B12*6)</f>
        <v>164971.84104646833</v>
      </c>
      <c r="C63" s="5">
        <f t="shared" ref="C63:F63" si="5">C18/(C12*6)</f>
        <v>148205.4472263132</v>
      </c>
      <c r="D63" s="5">
        <f t="shared" si="5"/>
        <v>59044.939766635129</v>
      </c>
      <c r="E63" s="5">
        <f t="shared" si="5"/>
        <v>229684.1397388633</v>
      </c>
      <c r="F63" s="5" t="e">
        <f t="shared" si="5"/>
        <v>#DIV/0!</v>
      </c>
    </row>
    <row r="64" spans="1:7" x14ac:dyDescent="0.25">
      <c r="A64" s="7" t="s">
        <v>29</v>
      </c>
      <c r="B64" s="13">
        <f>(B62/B63)*B46</f>
        <v>89.362505559862512</v>
      </c>
      <c r="C64" s="13">
        <f>(C62/C63)*C46</f>
        <v>93.018265288553621</v>
      </c>
      <c r="D64" s="13">
        <f>(D62/D63)*D46</f>
        <v>87.462889001965834</v>
      </c>
      <c r="E64" s="13">
        <f>E62/E63*E46</f>
        <v>87.4712475125514</v>
      </c>
      <c r="F64" s="13" t="e">
        <f>F62/F63*F46</f>
        <v>#DIV/0!</v>
      </c>
    </row>
    <row r="65" spans="1:7" x14ac:dyDescent="0.25">
      <c r="A65" s="7" t="s">
        <v>48</v>
      </c>
      <c r="B65" s="25">
        <f>B17/B11</f>
        <v>992094.0928040602</v>
      </c>
      <c r="C65" s="25">
        <f t="shared" ref="C65:F66" si="6">C17/C11</f>
        <v>889320</v>
      </c>
      <c r="D65" s="25">
        <f t="shared" si="6"/>
        <v>355728</v>
      </c>
      <c r="E65" s="25">
        <f t="shared" si="6"/>
        <v>1378310.1580008061</v>
      </c>
      <c r="F65" s="25" t="e">
        <f t="shared" si="6"/>
        <v>#DIV/0!</v>
      </c>
    </row>
    <row r="66" spans="1:7" x14ac:dyDescent="0.25">
      <c r="A66" s="7" t="s">
        <v>49</v>
      </c>
      <c r="B66" s="25">
        <f>B18/B12</f>
        <v>989831.04627881001</v>
      </c>
      <c r="C66" s="25">
        <f t="shared" si="6"/>
        <v>889232.68335787929</v>
      </c>
      <c r="D66" s="25">
        <f t="shared" si="6"/>
        <v>354269.63859981077</v>
      </c>
      <c r="E66" s="25">
        <f t="shared" si="6"/>
        <v>1378104.8384331798</v>
      </c>
      <c r="F66" s="25" t="e">
        <f t="shared" si="6"/>
        <v>#DIV/0!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93.110218863886544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95.64670604012062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89</v>
      </c>
    </row>
    <row r="75" spans="1:7" x14ac:dyDescent="0.25">
      <c r="A75" t="s">
        <v>90</v>
      </c>
      <c r="B75" s="15"/>
      <c r="C75" s="15"/>
      <c r="D75" s="15"/>
    </row>
    <row r="76" spans="1:7" x14ac:dyDescent="0.25">
      <c r="A76" t="s">
        <v>68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46" t="s">
        <v>139</v>
      </c>
    </row>
    <row r="83" spans="1:1" x14ac:dyDescent="0.25">
      <c r="A83" t="s">
        <v>134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workbookViewId="0">
      <pane xSplit="1" ySplit="5" topLeftCell="B69" activePane="bottomRight" state="frozen"/>
      <selection activeCell="D40" sqref="D40"/>
      <selection pane="topRight" activeCell="D40" sqref="D40"/>
      <selection pane="bottomLeft" activeCell="D40" sqref="D40"/>
      <selection pane="bottomRight" activeCell="A81" sqref="A81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9" t="s">
        <v>120</v>
      </c>
      <c r="B2" s="39"/>
      <c r="C2" s="39"/>
      <c r="D2" s="39"/>
      <c r="E2" s="39"/>
    </row>
    <row r="4" spans="1:8" x14ac:dyDescent="0.25">
      <c r="A4" s="40" t="s">
        <v>0</v>
      </c>
      <c r="B4" s="18" t="s">
        <v>33</v>
      </c>
      <c r="C4" s="44" t="s">
        <v>2</v>
      </c>
      <c r="D4" s="44"/>
      <c r="E4" s="44"/>
      <c r="F4" s="44"/>
    </row>
    <row r="5" spans="1:8" ht="30.75" thickBot="1" x14ac:dyDescent="0.3">
      <c r="A5" s="41"/>
      <c r="B5" s="1" t="s">
        <v>34</v>
      </c>
      <c r="C5" s="1" t="s">
        <v>40</v>
      </c>
      <c r="D5" s="1" t="s">
        <v>41</v>
      </c>
      <c r="E5" s="1" t="s">
        <v>3</v>
      </c>
      <c r="F5" s="38" t="s">
        <v>136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73</v>
      </c>
      <c r="B10" s="27">
        <f>SUM(C10:F10)</f>
        <v>5184.6666666666661</v>
      </c>
      <c r="C10" s="5">
        <f>(+'I Trimestre'!C10+'II Trimestre'!C10+'III Trimestre'!C10)/3</f>
        <v>1657.6666666666667</v>
      </c>
      <c r="D10" s="5">
        <f>(+'I Trimestre'!D10+'II Trimestre'!D10+'III Trimestre'!D10)/3</f>
        <v>991.44444444444446</v>
      </c>
      <c r="E10" s="5">
        <f>(+'I Trimestre'!E10+'II Trimestre'!E10+'III Trimestre'!E10)/3</f>
        <v>2535.5555555555552</v>
      </c>
      <c r="F10" s="5">
        <f>+'I Trimestre'!F10+'II Trimestre'!F10+'III Trimestre'!F10/3</f>
        <v>0</v>
      </c>
      <c r="G10" s="3"/>
      <c r="H10" s="11"/>
    </row>
    <row r="11" spans="1:8" x14ac:dyDescent="0.25">
      <c r="A11" s="6" t="s">
        <v>121</v>
      </c>
      <c r="B11" s="27">
        <f t="shared" ref="B11:B13" si="0">SUM(C11:F11)</f>
        <v>5580</v>
      </c>
      <c r="C11" s="5">
        <f>(+'I Trimestre'!C11+'II Trimestre'!C11+'III Trimestre'!C11)/3</f>
        <v>1825</v>
      </c>
      <c r="D11" s="5">
        <f>(+'I Trimestre'!D11+'II Trimestre'!D11+'III Trimestre'!D11)/3</f>
        <v>1238.6666666666667</v>
      </c>
      <c r="E11" s="5">
        <f>(+'I Trimestre'!E11+'II Trimestre'!E11+'III Trimestre'!E11)/3</f>
        <v>2516.3333333333335</v>
      </c>
      <c r="F11" s="5">
        <f>+'I Trimestre'!F11+'II Trimestre'!F11+'III Trimestre'!F11/3</f>
        <v>0</v>
      </c>
      <c r="G11" s="19"/>
      <c r="H11" s="11"/>
    </row>
    <row r="12" spans="1:8" x14ac:dyDescent="0.25">
      <c r="A12" s="6" t="s">
        <v>122</v>
      </c>
      <c r="B12" s="27">
        <f t="shared" si="0"/>
        <v>5016.6666666666661</v>
      </c>
      <c r="C12" s="5">
        <f>(+'I Trimestre'!C12+'II Trimestre'!C12+'III Trimestre'!C12)/3</f>
        <v>1727</v>
      </c>
      <c r="D12" s="5">
        <f>(+'I Trimestre'!D12+'II Trimestre'!D12+'III Trimestre'!D12)/3</f>
        <v>1068</v>
      </c>
      <c r="E12" s="5">
        <f>(+'I Trimestre'!E12+'II Trimestre'!E12+'III Trimestre'!E12)/3</f>
        <v>2221.6666666666665</v>
      </c>
      <c r="F12" s="5">
        <f>+'I Trimestre'!F12+'II Trimestre'!F12+'III Trimestre'!F12/3</f>
        <v>0</v>
      </c>
      <c r="H12" s="11"/>
    </row>
    <row r="13" spans="1:8" x14ac:dyDescent="0.25">
      <c r="A13" s="6" t="s">
        <v>84</v>
      </c>
      <c r="B13" s="27">
        <f t="shared" si="0"/>
        <v>5611</v>
      </c>
      <c r="C13" s="5">
        <f>+'III Trimestre'!C13</f>
        <v>1825</v>
      </c>
      <c r="D13" s="5">
        <f>+'III Trimestre'!D13</f>
        <v>1252</v>
      </c>
      <c r="E13" s="5">
        <f>+'III Trimestre'!E13</f>
        <v>2534</v>
      </c>
      <c r="F13" s="5">
        <f>+'III Trimestre'!F13</f>
        <v>0</v>
      </c>
      <c r="G13" s="19"/>
      <c r="H13" s="11"/>
    </row>
    <row r="14" spans="1:8" x14ac:dyDescent="0.25">
      <c r="B14" s="29"/>
      <c r="F14" s="7"/>
      <c r="G14" s="19"/>
    </row>
    <row r="15" spans="1:8" x14ac:dyDescent="0.25">
      <c r="A15" s="8" t="s">
        <v>5</v>
      </c>
      <c r="B15" s="29"/>
      <c r="F15" s="7"/>
      <c r="G15" s="20"/>
    </row>
    <row r="16" spans="1:8" x14ac:dyDescent="0.25">
      <c r="A16" s="4" t="s">
        <v>73</v>
      </c>
      <c r="B16" s="27">
        <f>SUM(C16:F16)</f>
        <v>7849273786</v>
      </c>
      <c r="C16" s="5">
        <f>+'I Trimestre'!C16+'II Trimestre'!C16+'III Trimestre'!C16</f>
        <v>2296218528</v>
      </c>
      <c r="D16" s="5">
        <f>+'I Trimestre'!D16+'II Trimestre'!D16+'III Trimestre'!D16</f>
        <v>549274008</v>
      </c>
      <c r="E16" s="5">
        <f>+'I Trimestre'!E16+'II Trimestre'!E16+'III Trimestre'!E16</f>
        <v>5003781250</v>
      </c>
      <c r="F16" s="5">
        <f>+'I Trimestre'!F16+'II Trimestre'!F16+'III Trimestre'!F16</f>
        <v>0</v>
      </c>
      <c r="H16" s="11"/>
    </row>
    <row r="17" spans="1:7" x14ac:dyDescent="0.25">
      <c r="A17" s="6" t="s">
        <v>121</v>
      </c>
      <c r="B17" s="27">
        <f>SUM(C17:F17)</f>
        <v>8371829705</v>
      </c>
      <c r="C17" s="5">
        <f>+'I Trimestre'!C17+'II Trimestre'!C17+'III Trimestre'!C17</f>
        <v>2506504206</v>
      </c>
      <c r="D17" s="5">
        <f>+'I Trimestre'!D17+'II Trimestre'!D17+'III Trimestre'!D17</f>
        <v>663133308</v>
      </c>
      <c r="E17" s="5">
        <f>+'I Trimestre'!E17+'II Trimestre'!E17+'III Trimestre'!E17</f>
        <v>5202192191</v>
      </c>
      <c r="F17" s="5">
        <f>+'I Trimestre'!F17+'II Trimestre'!F17+'III Trimestre'!F17</f>
        <v>0</v>
      </c>
      <c r="G17" s="19"/>
    </row>
    <row r="18" spans="1:7" x14ac:dyDescent="0.25">
      <c r="A18" s="6" t="s">
        <v>122</v>
      </c>
      <c r="B18" s="26">
        <f>SUM(C18:F18)</f>
        <v>7470162685.6000004</v>
      </c>
      <c r="C18" s="5">
        <f>+'I Trimestre'!C18+'II Trimestre'!C18+'III Trimestre'!C18</f>
        <v>2303635240</v>
      </c>
      <c r="D18" s="5">
        <f>+'I Trimestre'!D18+'II Trimestre'!D18+'III Trimestre'!D18</f>
        <v>567267584</v>
      </c>
      <c r="E18" s="5">
        <f>+'I Trimestre'!E18+'II Trimestre'!E18+'III Trimestre'!E18</f>
        <v>4599259861.6000004</v>
      </c>
      <c r="F18" s="5">
        <f>+'I Trimestre'!F18+'II Trimestre'!F18+'III Trimestre'!F18</f>
        <v>0</v>
      </c>
    </row>
    <row r="19" spans="1:7" x14ac:dyDescent="0.25">
      <c r="A19" s="6" t="s">
        <v>84</v>
      </c>
      <c r="B19" s="3">
        <f>SUM(C19:F19)</f>
        <v>11270276300</v>
      </c>
      <c r="C19" s="5">
        <f>+'III Trimestre'!C19</f>
        <v>3389999412</v>
      </c>
      <c r="D19" s="5">
        <f>+'III Trimestre'!D19</f>
        <v>895480008</v>
      </c>
      <c r="E19" s="5">
        <f>+'III Trimestre'!E19</f>
        <v>6984796880</v>
      </c>
      <c r="F19" s="5">
        <f>+'III Trimestre'!F19</f>
        <v>0</v>
      </c>
    </row>
    <row r="20" spans="1:7" x14ac:dyDescent="0.25">
      <c r="A20" s="6" t="s">
        <v>123</v>
      </c>
      <c r="B20" s="5">
        <f>SUM(C20:E20)</f>
        <v>7470162685.6000004</v>
      </c>
      <c r="C20" s="5">
        <f>+C18</f>
        <v>2303635240</v>
      </c>
      <c r="D20" s="5">
        <f t="shared" ref="D20:F20" si="1">+D18</f>
        <v>567267584</v>
      </c>
      <c r="E20" s="5">
        <f t="shared" si="1"/>
        <v>4599259861.6000004</v>
      </c>
      <c r="F20" s="5">
        <f t="shared" si="1"/>
        <v>0</v>
      </c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6</v>
      </c>
      <c r="B22" s="5"/>
      <c r="C22" s="5"/>
      <c r="D22" s="5"/>
      <c r="E22" s="5"/>
      <c r="F22" s="5"/>
    </row>
    <row r="23" spans="1:7" x14ac:dyDescent="0.25">
      <c r="A23" s="4" t="s">
        <v>121</v>
      </c>
      <c r="B23" s="5">
        <f>B17</f>
        <v>8371829705</v>
      </c>
      <c r="C23" s="5"/>
      <c r="D23" s="5"/>
      <c r="E23" s="5"/>
      <c r="F23" s="5"/>
      <c r="G23" s="11"/>
    </row>
    <row r="24" spans="1:7" x14ac:dyDescent="0.25">
      <c r="A24" s="4" t="s">
        <v>122</v>
      </c>
      <c r="B24" s="5">
        <f>'I Trimestre'!B24+'II Trimestre'!B24+'III Trimestre'!B24</f>
        <v>7760860197.9699993</v>
      </c>
      <c r="C24" s="45"/>
      <c r="D24" s="4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7</v>
      </c>
      <c r="B26" s="7"/>
      <c r="C26" s="7"/>
      <c r="D26" s="7"/>
      <c r="E26" s="7"/>
      <c r="F26" s="7"/>
    </row>
    <row r="27" spans="1:7" x14ac:dyDescent="0.25">
      <c r="A27" s="4" t="s">
        <v>74</v>
      </c>
      <c r="B27" s="17">
        <v>0.98</v>
      </c>
      <c r="C27" s="17">
        <v>0.98</v>
      </c>
      <c r="D27" s="17">
        <v>0.98</v>
      </c>
      <c r="E27" s="17">
        <v>0.98</v>
      </c>
      <c r="F27" s="17">
        <v>0.98</v>
      </c>
    </row>
    <row r="28" spans="1:7" x14ac:dyDescent="0.25">
      <c r="A28" s="4" t="s">
        <v>124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7" x14ac:dyDescent="0.25">
      <c r="A29" s="4" t="s">
        <v>8</v>
      </c>
      <c r="B29" s="5">
        <v>132851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2" t="s">
        <v>9</v>
      </c>
      <c r="B31" s="7"/>
      <c r="C31" s="7"/>
      <c r="D31" s="7"/>
      <c r="E31" s="7"/>
      <c r="F31" s="7"/>
    </row>
    <row r="32" spans="1:7" x14ac:dyDescent="0.25">
      <c r="A32" s="7" t="s">
        <v>75</v>
      </c>
      <c r="B32" s="5">
        <f>B16/B27</f>
        <v>8009463046.938776</v>
      </c>
      <c r="C32" s="5">
        <f>C16/C27</f>
        <v>2343080130.6122451</v>
      </c>
      <c r="D32" s="5">
        <f>D16/D27</f>
        <v>560483681.63265312</v>
      </c>
      <c r="E32" s="5">
        <f>E16/E27</f>
        <v>5105899234.6938772</v>
      </c>
      <c r="F32" s="5">
        <f>F16/F27</f>
        <v>0</v>
      </c>
    </row>
    <row r="33" spans="1:8" x14ac:dyDescent="0.25">
      <c r="A33" s="7" t="s">
        <v>125</v>
      </c>
      <c r="B33" s="5">
        <f>B18/B28</f>
        <v>7545618874.3434343</v>
      </c>
      <c r="C33" s="5">
        <f>C18/C28</f>
        <v>2326904282.8282828</v>
      </c>
      <c r="D33" s="5">
        <f>D18/D28</f>
        <v>572997559.59595954</v>
      </c>
      <c r="E33" s="5">
        <f>E18/E28</f>
        <v>4645717031.9191923</v>
      </c>
      <c r="F33" s="5">
        <f>F18/F28</f>
        <v>0</v>
      </c>
    </row>
    <row r="34" spans="1:8" x14ac:dyDescent="0.25">
      <c r="A34" s="7" t="s">
        <v>76</v>
      </c>
      <c r="B34" s="27">
        <f>$B$32/(B10)</f>
        <v>1544836.64271675</v>
      </c>
      <c r="C34" s="27">
        <f>C32/(C10)</f>
        <v>1413480.8750928484</v>
      </c>
      <c r="D34" s="27">
        <f>D32/(D10)</f>
        <v>565320.31095975323</v>
      </c>
      <c r="E34" s="27">
        <f>E32/(E10)</f>
        <v>2013720.1188538519</v>
      </c>
      <c r="F34" s="27" t="e">
        <f>F32/(F10)</f>
        <v>#DIV/0!</v>
      </c>
      <c r="H34" s="11"/>
    </row>
    <row r="35" spans="1:8" x14ac:dyDescent="0.25">
      <c r="A35" s="7" t="s">
        <v>126</v>
      </c>
      <c r="B35" s="27">
        <f>$B$33/(B12)</f>
        <v>1504110.0746199538</v>
      </c>
      <c r="C35" s="27">
        <f>C33/(C12)</f>
        <v>1347367.8534037538</v>
      </c>
      <c r="D35" s="27">
        <f>D33/(D12)</f>
        <v>536514.56891007454</v>
      </c>
      <c r="E35" s="27">
        <f>E33/(E12)</f>
        <v>2091095.4382231925</v>
      </c>
      <c r="F35" s="27" t="e">
        <f>F33/(F12)</f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F37" s="7"/>
    </row>
    <row r="38" spans="1:8" x14ac:dyDescent="0.25">
      <c r="F38" s="7"/>
    </row>
    <row r="39" spans="1:8" x14ac:dyDescent="0.25">
      <c r="A39" t="s">
        <v>11</v>
      </c>
      <c r="F39" s="7"/>
    </row>
    <row r="40" spans="1:8" x14ac:dyDescent="0.25">
      <c r="A40" t="s">
        <v>12</v>
      </c>
      <c r="B40" s="13">
        <f>B11/B29*100</f>
        <v>4.2001942025276433</v>
      </c>
      <c r="C40" s="13"/>
      <c r="D40" s="13"/>
      <c r="E40" s="13"/>
      <c r="F40" s="13"/>
    </row>
    <row r="41" spans="1:8" x14ac:dyDescent="0.25">
      <c r="A41" t="s">
        <v>13</v>
      </c>
      <c r="B41" s="13">
        <f>B12/B29*100</f>
        <v>3.7761602597396076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89.904420549581829</v>
      </c>
      <c r="C44" s="13">
        <f>C12/C11*100</f>
        <v>94.630136986301366</v>
      </c>
      <c r="D44" s="13">
        <f>D12/D11*100</f>
        <v>86.221743810548972</v>
      </c>
      <c r="E44" s="13">
        <f>E12/E11*100</f>
        <v>88.289839713869384</v>
      </c>
      <c r="F44" s="13" t="e">
        <f>F12/F11*100</f>
        <v>#DIV/0!</v>
      </c>
    </row>
    <row r="45" spans="1:8" x14ac:dyDescent="0.25">
      <c r="A45" t="s">
        <v>16</v>
      </c>
      <c r="B45" s="13">
        <f>B18/B17*100</f>
        <v>89.229749634521511</v>
      </c>
      <c r="C45" s="13">
        <f>C18/C17*100</f>
        <v>91.906298600481989</v>
      </c>
      <c r="D45" s="13">
        <f>D18/D17*100</f>
        <v>85.543521514681629</v>
      </c>
      <c r="E45" s="13">
        <f>E18/E17*100</f>
        <v>88.410033553871841</v>
      </c>
      <c r="F45" s="13" t="e">
        <f>F18/F17*100</f>
        <v>#DIV/0!</v>
      </c>
    </row>
    <row r="46" spans="1:8" x14ac:dyDescent="0.25">
      <c r="A46" s="7" t="s">
        <v>17</v>
      </c>
      <c r="B46" s="13">
        <f>AVERAGE(B44:B45)</f>
        <v>89.56708509205167</v>
      </c>
      <c r="C46" s="13">
        <f>AVERAGE(C44:C45)</f>
        <v>93.268217793391671</v>
      </c>
      <c r="D46" s="13">
        <f>AVERAGE(D44:D45)</f>
        <v>85.882632662615293</v>
      </c>
      <c r="E46" s="13">
        <f>AVERAGE(E44:E45)</f>
        <v>88.349936633870612</v>
      </c>
      <c r="F46" s="13" t="e">
        <f>AVERAGE(F44:F45)</f>
        <v>#DIV/0!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89.407711043783038</v>
      </c>
      <c r="C49" s="28">
        <f t="shared" ref="C49:F49" si="2">(C12/C13)*100</f>
        <v>94.630136986301366</v>
      </c>
      <c r="D49" s="28">
        <f t="shared" si="2"/>
        <v>85.303514376996802</v>
      </c>
      <c r="E49" s="28">
        <f t="shared" si="2"/>
        <v>87.674296237832138</v>
      </c>
      <c r="F49" s="28" t="e">
        <f t="shared" si="2"/>
        <v>#DIV/0!</v>
      </c>
      <c r="G49" s="11"/>
    </row>
    <row r="50" spans="1:7" x14ac:dyDescent="0.25">
      <c r="A50" s="7" t="s">
        <v>20</v>
      </c>
      <c r="B50" s="13">
        <f>B18/B19*100</f>
        <v>66.281983571245732</v>
      </c>
      <c r="C50" s="13">
        <f>C18/C19*100</f>
        <v>67.953853674591727</v>
      </c>
      <c r="D50" s="13">
        <f>D18/D19*100</f>
        <v>63.347878113656328</v>
      </c>
      <c r="E50" s="13">
        <f>E18/E19*100</f>
        <v>65.84672311329976</v>
      </c>
      <c r="F50" s="13" t="e">
        <f>F18/F19*100</f>
        <v>#DIV/0!</v>
      </c>
    </row>
    <row r="51" spans="1:7" x14ac:dyDescent="0.25">
      <c r="A51" s="7" t="s">
        <v>21</v>
      </c>
      <c r="B51" s="13">
        <f>(B49+B50)/2</f>
        <v>77.844847307514385</v>
      </c>
      <c r="C51" s="13">
        <f>(C49+C50)/2</f>
        <v>81.291995330446554</v>
      </c>
      <c r="D51" s="13">
        <f>(D49+D50)/2</f>
        <v>74.325696245326569</v>
      </c>
      <c r="E51" s="13">
        <f>(E49+E50)/2</f>
        <v>76.760509675565942</v>
      </c>
      <c r="F51" s="13" t="e">
        <f>(F49+F50)/2</f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-3.2403240324032412</v>
      </c>
      <c r="C57" s="13">
        <f>((C12/C10)-1)*100</f>
        <v>4.1825859642067087</v>
      </c>
      <c r="D57" s="13">
        <f>((D12/D10)-1)*100</f>
        <v>7.7216182898128372</v>
      </c>
      <c r="E57" s="13">
        <f>((E12/E10)-1)*100</f>
        <v>-12.3794916739702</v>
      </c>
      <c r="F57" s="13" t="e">
        <f>((F12/F10)-1)*100</f>
        <v>#DIV/0!</v>
      </c>
    </row>
    <row r="58" spans="1:7" x14ac:dyDescent="0.25">
      <c r="A58" s="7" t="s">
        <v>26</v>
      </c>
      <c r="B58" s="13">
        <f>((B33/B32)-1)*100</f>
        <v>-5.7912018555678735</v>
      </c>
      <c r="C58" s="13">
        <f>((C33/C32)-1)*100</f>
        <v>-0.69036681983792869</v>
      </c>
      <c r="D58" s="13">
        <f>((D33/D32)-1)*100</f>
        <v>2.2326926498295707</v>
      </c>
      <c r="E58" s="13">
        <f>((E33/E32)-1)*100</f>
        <v>-9.0127552782046862</v>
      </c>
      <c r="F58" s="13" t="e">
        <f>((F33/F32)-1)*100</f>
        <v>#DIV/0!</v>
      </c>
      <c r="G58" s="13"/>
    </row>
    <row r="59" spans="1:7" x14ac:dyDescent="0.25">
      <c r="A59" s="7" t="s">
        <v>27</v>
      </c>
      <c r="B59" s="13">
        <f>((B35/B34)-1)*100</f>
        <v>-2.6363025688706188</v>
      </c>
      <c r="C59" s="13">
        <f>((C35/C34)-1)*100</f>
        <v>-4.6773198600760573</v>
      </c>
      <c r="D59" s="13">
        <f>((D35/D34)-1)*100</f>
        <v>-5.0954726888858382</v>
      </c>
      <c r="E59" s="13">
        <f>((E35/E34)-1)*100</f>
        <v>3.8424068292757685</v>
      </c>
      <c r="F59" s="13" t="e">
        <f>((F35/F34)-1)*100</f>
        <v>#DIV/0!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B17/(B11*9)</f>
        <v>166703.10045798487</v>
      </c>
      <c r="C62" s="5">
        <f t="shared" ref="C62:F62" si="3">C17/(C11*9)</f>
        <v>152602.99579908676</v>
      </c>
      <c r="D62" s="5">
        <f t="shared" si="3"/>
        <v>59484.509149623249</v>
      </c>
      <c r="E62" s="5">
        <f t="shared" si="3"/>
        <v>229707.78429814102</v>
      </c>
      <c r="F62" s="5" t="e">
        <f t="shared" si="3"/>
        <v>#DIV/0!</v>
      </c>
    </row>
    <row r="63" spans="1:7" x14ac:dyDescent="0.25">
      <c r="A63" s="7" t="s">
        <v>47</v>
      </c>
      <c r="B63" s="5">
        <f>B18/(B12*9)</f>
        <v>165452.10820819493</v>
      </c>
      <c r="C63" s="5">
        <f t="shared" ref="C63:F63" si="4">C18/(C12*9)</f>
        <v>148210.46387441293</v>
      </c>
      <c r="D63" s="5">
        <f t="shared" si="4"/>
        <v>59016.6025801082</v>
      </c>
      <c r="E63" s="5">
        <f t="shared" si="4"/>
        <v>230020.49820455114</v>
      </c>
      <c r="F63" s="5" t="e">
        <f t="shared" si="4"/>
        <v>#DIV/0!</v>
      </c>
    </row>
    <row r="64" spans="1:7" x14ac:dyDescent="0.25">
      <c r="A64" s="7" t="s">
        <v>29</v>
      </c>
      <c r="B64" s="13">
        <f>(B62/B63)*B46</f>
        <v>90.244306618570022</v>
      </c>
      <c r="C64" s="13">
        <f>(C62/C63)*C46</f>
        <v>96.03241954747331</v>
      </c>
      <c r="D64" s="13">
        <f>(D62/D63)*D46</f>
        <v>86.563543563501852</v>
      </c>
      <c r="E64" s="13">
        <f>E62/E63*E46</f>
        <v>88.229824495902392</v>
      </c>
      <c r="F64" s="13" t="e">
        <f>F62/F63*F46</f>
        <v>#DIV/0!</v>
      </c>
    </row>
    <row r="65" spans="1:7" x14ac:dyDescent="0.25">
      <c r="A65" s="7" t="s">
        <v>48</v>
      </c>
      <c r="B65" s="25">
        <f>B17/B11</f>
        <v>1500327.9041218639</v>
      </c>
      <c r="C65" s="25">
        <f t="shared" ref="C65:F66" si="5">C17/C11</f>
        <v>1373426.9621917808</v>
      </c>
      <c r="D65" s="25">
        <f t="shared" si="5"/>
        <v>535360.58234660921</v>
      </c>
      <c r="E65" s="25">
        <f t="shared" si="5"/>
        <v>2067370.0586832692</v>
      </c>
      <c r="F65" s="25" t="e">
        <f t="shared" si="5"/>
        <v>#DIV/0!</v>
      </c>
    </row>
    <row r="66" spans="1:7" x14ac:dyDescent="0.25">
      <c r="A66" s="7" t="s">
        <v>49</v>
      </c>
      <c r="B66" s="25">
        <f>B18/B12</f>
        <v>1489068.9738737545</v>
      </c>
      <c r="C66" s="25">
        <f t="shared" si="5"/>
        <v>1333894.1748697162</v>
      </c>
      <c r="D66" s="25">
        <f t="shared" si="5"/>
        <v>531149.42322097381</v>
      </c>
      <c r="E66" s="25">
        <f t="shared" si="5"/>
        <v>2070184.4838409605</v>
      </c>
      <c r="F66" s="25" t="e">
        <f t="shared" si="5"/>
        <v>#DIV/0!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92.702079132532944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96.254313246796585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89</v>
      </c>
    </row>
    <row r="75" spans="1:7" x14ac:dyDescent="0.25">
      <c r="A75" t="s">
        <v>90</v>
      </c>
      <c r="B75" s="15"/>
      <c r="C75" s="15"/>
      <c r="D75" s="15"/>
    </row>
    <row r="76" spans="1:7" x14ac:dyDescent="0.25">
      <c r="A76" t="s">
        <v>68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46" t="s">
        <v>139</v>
      </c>
    </row>
    <row r="83" spans="1:1" x14ac:dyDescent="0.25">
      <c r="A83" t="s">
        <v>135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abSelected="1" zoomScale="90" zoomScaleNormal="90" workbookViewId="0">
      <selection activeCell="A81" sqref="A81"/>
    </sheetView>
  </sheetViews>
  <sheetFormatPr baseColWidth="10" defaultColWidth="11.42578125" defaultRowHeight="15" x14ac:dyDescent="0.25"/>
  <cols>
    <col min="1" max="1" width="55.140625" customWidth="1"/>
    <col min="2" max="2" width="14.710937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9" t="s">
        <v>127</v>
      </c>
      <c r="B2" s="39"/>
      <c r="C2" s="39"/>
      <c r="D2" s="39"/>
      <c r="E2" s="39"/>
    </row>
    <row r="4" spans="1:8" ht="15" customHeight="1" x14ac:dyDescent="0.25">
      <c r="A4" s="40" t="s">
        <v>0</v>
      </c>
      <c r="B4" s="18"/>
      <c r="C4" s="44" t="s">
        <v>2</v>
      </c>
      <c r="D4" s="44"/>
      <c r="E4" s="44"/>
      <c r="F4" s="44"/>
    </row>
    <row r="5" spans="1:8" ht="30.75" thickBot="1" x14ac:dyDescent="0.3">
      <c r="A5" s="41"/>
      <c r="B5" s="1" t="s">
        <v>39</v>
      </c>
      <c r="C5" s="1" t="s">
        <v>40</v>
      </c>
      <c r="D5" s="1" t="s">
        <v>41</v>
      </c>
      <c r="E5" s="1" t="s">
        <v>3</v>
      </c>
      <c r="F5" s="38" t="s">
        <v>136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77</v>
      </c>
      <c r="B10" s="27">
        <f>SUM(C10:F10)</f>
        <v>5370.583333333333</v>
      </c>
      <c r="C10" s="5">
        <f>(+'I Trimestre'!C10+'II Trimestre'!C10+'III Trimestre'!C10+'IV Trimestre'!C10)/4</f>
        <v>1685.3333333333333</v>
      </c>
      <c r="D10" s="5">
        <f>(+'I Trimestre'!D10+'II Trimestre'!D10+'III Trimestre'!D10+'IV Trimestre'!D10)/4</f>
        <v>1009.5833333333334</v>
      </c>
      <c r="E10" s="5">
        <f>(+'I Trimestre'!E10+'II Trimestre'!E10+'III Trimestre'!E10+'IV Trimestre'!E10)/4</f>
        <v>2675.6666666666665</v>
      </c>
      <c r="F10" s="5">
        <f>+'I Trimestre'!F10+'II Trimestre'!F10+'III Trimestre'!F10+'IV Trimestre'!F10/4</f>
        <v>0</v>
      </c>
      <c r="G10" s="3"/>
      <c r="H10" s="11"/>
    </row>
    <row r="11" spans="1:8" x14ac:dyDescent="0.25">
      <c r="A11" s="6" t="s">
        <v>128</v>
      </c>
      <c r="B11" s="27">
        <f t="shared" ref="B11:B13" si="0">SUM(C11:F11)</f>
        <v>6129.25</v>
      </c>
      <c r="C11" s="5">
        <f>(+'I Trimestre'!C11+'II Trimestre'!C11+'III Trimestre'!C11+'IV Trimestre'!C11)/4</f>
        <v>1825</v>
      </c>
      <c r="D11" s="5">
        <f>(+'I Trimestre'!D11+'II Trimestre'!D11+'III Trimestre'!D11+'IV Trimestre'!D11)/4</f>
        <v>1266.25</v>
      </c>
      <c r="E11" s="5">
        <f>'IV Trimestre'!E13</f>
        <v>2582</v>
      </c>
      <c r="F11" s="5">
        <f>'IV Trimestre'!F11</f>
        <v>456</v>
      </c>
      <c r="G11" s="19"/>
      <c r="H11" s="11"/>
    </row>
    <row r="12" spans="1:8" x14ac:dyDescent="0.25">
      <c r="A12" s="6" t="s">
        <v>129</v>
      </c>
      <c r="B12" s="27">
        <f t="shared" si="0"/>
        <v>5300.3333333333339</v>
      </c>
      <c r="C12" s="5">
        <f>(+'I Trimestre'!C12+'II Trimestre'!C12+'III Trimestre'!C12+'IV Trimestre'!C12)/4</f>
        <v>1738</v>
      </c>
      <c r="D12" s="5">
        <f>(+'I Trimestre'!D12+'II Trimestre'!D12+'III Trimestre'!D12+'IV Trimestre'!D12)/4</f>
        <v>1097.6666666666667</v>
      </c>
      <c r="E12" s="5">
        <f>(+'I Trimestre'!E12+'II Trimestre'!E12+'III Trimestre'!E12+'IV Trimestre'!E12)/4</f>
        <v>2448.4166666666665</v>
      </c>
      <c r="F12" s="5">
        <f>+'I Trimestre'!F12+'II Trimestre'!F12+'III Trimestre'!F12+'IV Trimestre'!F12/4</f>
        <v>16.25</v>
      </c>
      <c r="H12" s="11"/>
    </row>
    <row r="13" spans="1:8" x14ac:dyDescent="0.25">
      <c r="A13" s="6" t="s">
        <v>84</v>
      </c>
      <c r="B13" s="27">
        <f t="shared" si="0"/>
        <v>6129</v>
      </c>
      <c r="C13" s="5">
        <f>+'IV Trimestre'!C13</f>
        <v>1825</v>
      </c>
      <c r="D13" s="5">
        <f>+'IV Trimestre'!D13</f>
        <v>1266</v>
      </c>
      <c r="E13" s="5">
        <f>+'IV Trimestre'!E13</f>
        <v>2582</v>
      </c>
      <c r="F13" s="5">
        <f>+'IV Trimestre'!F13</f>
        <v>456</v>
      </c>
      <c r="G13" s="19"/>
      <c r="H13" s="11"/>
    </row>
    <row r="14" spans="1:8" x14ac:dyDescent="0.25">
      <c r="B14" s="29"/>
      <c r="F14" s="7"/>
      <c r="G14" s="19"/>
    </row>
    <row r="15" spans="1:8" x14ac:dyDescent="0.25">
      <c r="A15" s="8" t="s">
        <v>5</v>
      </c>
      <c r="B15" s="29"/>
      <c r="F15" s="7"/>
      <c r="G15" s="20"/>
    </row>
    <row r="16" spans="1:8" x14ac:dyDescent="0.25">
      <c r="A16" s="4" t="s">
        <v>77</v>
      </c>
      <c r="B16" s="27">
        <f>SUM(C16:F16)</f>
        <v>11002136466.620001</v>
      </c>
      <c r="C16" s="5">
        <f>+'I Trimestre'!C16+'II Trimestre'!C16+'III Trimestre'!C16+'IV Trimestre'!C16</f>
        <v>3166359249.6500001</v>
      </c>
      <c r="D16" s="5">
        <f>+'I Trimestre'!D16+'II Trimestre'!D16+'III Trimestre'!D16+'IV Trimestre'!D16</f>
        <v>769686444</v>
      </c>
      <c r="E16" s="5">
        <f>+'I Trimestre'!E16+'II Trimestre'!E16+'III Trimestre'!E16+'IV Trimestre'!E16</f>
        <v>7066090772.9700003</v>
      </c>
      <c r="F16" s="5">
        <f>+'I Trimestre'!F16+'II Trimestre'!F16+'III Trimestre'!F16+'IV Trimestre'!F16</f>
        <v>0</v>
      </c>
      <c r="H16" s="11"/>
    </row>
    <row r="17" spans="1:8" x14ac:dyDescent="0.25">
      <c r="A17" s="6" t="s">
        <v>128</v>
      </c>
      <c r="B17" s="27">
        <f>SUM(C17:F17)</f>
        <v>12188585410</v>
      </c>
      <c r="C17" s="5">
        <f>+'I Trimestre'!C17+'II Trimestre'!C17+'III Trimestre'!C17+'IV Trimestre'!C17</f>
        <v>3414604131</v>
      </c>
      <c r="D17" s="5">
        <f>+'I Trimestre'!D17+'II Trimestre'!D17+'III Trimestre'!D17+'IV Trimestre'!D17</f>
        <v>905262528</v>
      </c>
      <c r="E17" s="5">
        <f>'IV Trimestre'!E19</f>
        <v>7115718751</v>
      </c>
      <c r="F17" s="5">
        <f>+'I Trimestre'!F17+'II Trimestre'!F17+'III Trimestre'!F17+'IV Trimestre'!F17</f>
        <v>753000000</v>
      </c>
      <c r="G17" s="19"/>
    </row>
    <row r="18" spans="1:8" x14ac:dyDescent="0.25">
      <c r="A18" s="6" t="s">
        <v>129</v>
      </c>
      <c r="B18" s="26">
        <f>SUM(C18:F18)</f>
        <v>11788254435.77</v>
      </c>
      <c r="C18" s="5">
        <f>+'I Trimestre'!C18+'II Trimestre'!C18+'III Trimestre'!C18+'IV Trimestre'!C18</f>
        <v>3261861858.52</v>
      </c>
      <c r="D18" s="5">
        <f>+'I Trimestre'!D18+'II Trimestre'!D18+'III Trimestre'!D18+'IV Trimestre'!D18</f>
        <v>804235774.75</v>
      </c>
      <c r="E18" s="5">
        <f>+'I Trimestre'!E18+'II Trimestre'!E18+'III Trimestre'!E18+'IV Trimestre'!E18</f>
        <v>6974122084.5</v>
      </c>
      <c r="F18" s="5">
        <f>+'I Trimestre'!F18+'II Trimestre'!F18+'III Trimestre'!F18+'IV Trimestre'!F18</f>
        <v>748034718</v>
      </c>
    </row>
    <row r="19" spans="1:8" x14ac:dyDescent="0.25">
      <c r="A19" s="6" t="s">
        <v>84</v>
      </c>
      <c r="B19" s="26">
        <f>SUM(C19:F19)</f>
        <v>12188585410</v>
      </c>
      <c r="C19" s="27">
        <f>+'IV Trimestre'!C19</f>
        <v>3414604131</v>
      </c>
      <c r="D19" s="3">
        <f>+'IV Trimestre'!D19</f>
        <v>905262528</v>
      </c>
      <c r="E19" s="3">
        <f>+'IV Trimestre'!E19</f>
        <v>7115718751</v>
      </c>
      <c r="F19" s="3">
        <f>+'IV Trimestre'!F19</f>
        <v>753000000</v>
      </c>
      <c r="H19" s="11"/>
    </row>
    <row r="20" spans="1:8" x14ac:dyDescent="0.25">
      <c r="A20" s="6" t="s">
        <v>130</v>
      </c>
      <c r="B20" s="5">
        <f>SUM(C20:F20)</f>
        <v>11788254435.77</v>
      </c>
      <c r="C20" s="5">
        <f>+C18</f>
        <v>3261861858.52</v>
      </c>
      <c r="D20" s="5">
        <f t="shared" ref="D20:F20" si="1">+D18</f>
        <v>804235774.75</v>
      </c>
      <c r="E20" s="5">
        <f t="shared" si="1"/>
        <v>6974122084.5</v>
      </c>
      <c r="F20" s="5">
        <f t="shared" si="1"/>
        <v>748034718</v>
      </c>
    </row>
    <row r="21" spans="1:8" x14ac:dyDescent="0.25">
      <c r="B21" s="3"/>
      <c r="C21" s="3"/>
      <c r="D21" s="3"/>
      <c r="E21" s="3"/>
      <c r="F21" s="5"/>
      <c r="G21" s="19"/>
    </row>
    <row r="22" spans="1:8" x14ac:dyDescent="0.25">
      <c r="A22" s="10" t="s">
        <v>6</v>
      </c>
      <c r="B22" s="5"/>
      <c r="C22" s="5"/>
      <c r="D22" s="5"/>
      <c r="E22" s="5"/>
      <c r="F22" s="5"/>
    </row>
    <row r="23" spans="1:8" x14ac:dyDescent="0.25">
      <c r="A23" s="4" t="s">
        <v>128</v>
      </c>
      <c r="B23" s="5">
        <f>B17</f>
        <v>12188585410</v>
      </c>
      <c r="C23" s="5"/>
      <c r="D23" s="5"/>
      <c r="E23" s="5"/>
      <c r="F23" s="5"/>
      <c r="G23" s="11"/>
    </row>
    <row r="24" spans="1:8" x14ac:dyDescent="0.25">
      <c r="A24" s="4" t="s">
        <v>129</v>
      </c>
      <c r="B24" s="5">
        <f>'I Trimestre'!B24+'II Trimestre'!B24+'III Trimestre'!B24+'IV Trimestre'!B24</f>
        <v>11869527339.549999</v>
      </c>
      <c r="C24" s="45"/>
      <c r="D24" s="45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7</v>
      </c>
      <c r="B26" s="7"/>
      <c r="C26" s="7"/>
      <c r="D26" s="7"/>
      <c r="E26" s="7"/>
      <c r="F26" s="7"/>
    </row>
    <row r="27" spans="1:8" x14ac:dyDescent="0.25">
      <c r="A27" s="4" t="s">
        <v>78</v>
      </c>
      <c r="B27" s="17">
        <v>0.98</v>
      </c>
      <c r="C27" s="17">
        <v>0.98</v>
      </c>
      <c r="D27" s="17">
        <v>0.98</v>
      </c>
      <c r="E27" s="17">
        <v>0.98</v>
      </c>
      <c r="F27" s="17">
        <v>0.98</v>
      </c>
    </row>
    <row r="28" spans="1:8" x14ac:dyDescent="0.25">
      <c r="A28" s="4" t="s">
        <v>131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8" x14ac:dyDescent="0.25">
      <c r="A29" s="4" t="s">
        <v>8</v>
      </c>
      <c r="B29" s="5">
        <v>132851</v>
      </c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2" t="s">
        <v>9</v>
      </c>
      <c r="B31" s="7"/>
      <c r="C31" s="7"/>
      <c r="D31" s="7"/>
      <c r="E31" s="7"/>
      <c r="F31" s="7"/>
    </row>
    <row r="32" spans="1:8" x14ac:dyDescent="0.25">
      <c r="A32" s="7" t="s">
        <v>79</v>
      </c>
      <c r="B32" s="5">
        <f>B16/B27</f>
        <v>11226669863.897961</v>
      </c>
      <c r="C32" s="5">
        <f>C16/C27</f>
        <v>3230978826.1734695</v>
      </c>
      <c r="D32" s="5">
        <f>D16/D27</f>
        <v>785394330.61224496</v>
      </c>
      <c r="E32" s="5">
        <f>E16/E27</f>
        <v>7210296707.1122456</v>
      </c>
      <c r="F32" s="5">
        <f>F16/F27</f>
        <v>0</v>
      </c>
    </row>
    <row r="33" spans="1:8" x14ac:dyDescent="0.25">
      <c r="A33" s="7" t="s">
        <v>132</v>
      </c>
      <c r="B33" s="5">
        <f>B18/B28</f>
        <v>11907327712.898991</v>
      </c>
      <c r="C33" s="5">
        <f>C18/C28</f>
        <v>3294809958.1010103</v>
      </c>
      <c r="D33" s="5">
        <f>D18/D28</f>
        <v>812359368.43434346</v>
      </c>
      <c r="E33" s="5">
        <f>E18/E28</f>
        <v>7044567762.121212</v>
      </c>
      <c r="F33" s="5">
        <f>F18/F28</f>
        <v>755590624.24242425</v>
      </c>
      <c r="G33" s="5"/>
    </row>
    <row r="34" spans="1:8" x14ac:dyDescent="0.25">
      <c r="A34" s="7" t="s">
        <v>80</v>
      </c>
      <c r="B34" s="27">
        <f>$B$32/(B10)</f>
        <v>2090400.4587766</v>
      </c>
      <c r="C34" s="27">
        <f>C32/(C10)</f>
        <v>1917115.6009731821</v>
      </c>
      <c r="D34" s="27">
        <f>D32/(D10)</f>
        <v>777939.08108517865</v>
      </c>
      <c r="E34" s="27">
        <f>E32/(E10)</f>
        <v>2694766.4284710027</v>
      </c>
      <c r="F34" s="27" t="e">
        <f>F32/(F10)</f>
        <v>#DIV/0!</v>
      </c>
      <c r="H34" s="11"/>
    </row>
    <row r="35" spans="1:8" x14ac:dyDescent="0.25">
      <c r="A35" s="7" t="s">
        <v>133</v>
      </c>
      <c r="B35" s="27">
        <f>$B$33/(B12)</f>
        <v>2246524.315369912</v>
      </c>
      <c r="C35" s="27">
        <f>C33/(C12)</f>
        <v>1895747.9620834352</v>
      </c>
      <c r="D35" s="27">
        <f>D33/(D12)</f>
        <v>740078.37998877326</v>
      </c>
      <c r="E35" s="27">
        <f>E33/(E12)</f>
        <v>2877193.191023265</v>
      </c>
      <c r="F35" s="27">
        <f>F33/(F12)</f>
        <v>46497884.568764567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F37" s="7"/>
    </row>
    <row r="38" spans="1:8" x14ac:dyDescent="0.25">
      <c r="F38" s="7"/>
    </row>
    <row r="39" spans="1:8" x14ac:dyDescent="0.25">
      <c r="A39" t="s">
        <v>11</v>
      </c>
      <c r="F39" s="7"/>
    </row>
    <row r="40" spans="1:8" x14ac:dyDescent="0.25">
      <c r="A40" t="s">
        <v>12</v>
      </c>
      <c r="B40" s="13">
        <f>B11/B29*100</f>
        <v>4.6136272967459782</v>
      </c>
      <c r="C40" s="13"/>
      <c r="D40" s="13"/>
      <c r="E40" s="13"/>
      <c r="F40" s="13"/>
    </row>
    <row r="41" spans="1:8" x14ac:dyDescent="0.25">
      <c r="A41" t="s">
        <v>13</v>
      </c>
      <c r="B41" s="13">
        <f>B12/B29*100</f>
        <v>3.9896826770843532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86.476050631534591</v>
      </c>
      <c r="C44" s="13">
        <f>C12/C11*100</f>
        <v>95.232876712328761</v>
      </c>
      <c r="D44" s="13">
        <f>D12/D11*100</f>
        <v>86.686410003290561</v>
      </c>
      <c r="E44" s="13">
        <f>E12/E11*100</f>
        <v>94.826361993286852</v>
      </c>
      <c r="F44" s="13">
        <f>F12/F11*100</f>
        <v>3.5635964912280702</v>
      </c>
    </row>
    <row r="45" spans="1:8" x14ac:dyDescent="0.25">
      <c r="A45" t="s">
        <v>16</v>
      </c>
      <c r="B45" s="13">
        <f>B18/B17*100</f>
        <v>96.715525544895868</v>
      </c>
      <c r="C45" s="13">
        <f>C18/C17*100</f>
        <v>95.526794128393803</v>
      </c>
      <c r="D45" s="13">
        <f>D18/D17*100</f>
        <v>88.840060189700026</v>
      </c>
      <c r="E45" s="13">
        <f>E18/E17*100</f>
        <v>98.010086240689304</v>
      </c>
      <c r="F45" s="13">
        <f>F18/F17*100</f>
        <v>99.340599999999995</v>
      </c>
    </row>
    <row r="46" spans="1:8" x14ac:dyDescent="0.25">
      <c r="A46" s="7" t="s">
        <v>17</v>
      </c>
      <c r="B46" s="13">
        <f>AVERAGE(B44:B45)</f>
        <v>91.59578808821523</v>
      </c>
      <c r="C46" s="13">
        <f>AVERAGE(C44:C45)</f>
        <v>95.379835420361275</v>
      </c>
      <c r="D46" s="13">
        <f>AVERAGE(D44:D45)</f>
        <v>87.763235096495293</v>
      </c>
      <c r="E46" s="13">
        <f>AVERAGE(E44:E45)</f>
        <v>96.418224116988085</v>
      </c>
      <c r="F46" s="13">
        <f>AVERAGE(F44:F45)</f>
        <v>51.452098245614032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86.479577962691039</v>
      </c>
      <c r="C49" s="28">
        <f t="shared" ref="C49:F49" si="2">(C12/C13)*100</f>
        <v>95.232876712328761</v>
      </c>
      <c r="D49" s="28">
        <f t="shared" si="2"/>
        <v>86.703528172722486</v>
      </c>
      <c r="E49" s="28">
        <f t="shared" si="2"/>
        <v>94.826361993286852</v>
      </c>
      <c r="F49" s="28">
        <f t="shared" si="2"/>
        <v>3.5635964912280702</v>
      </c>
      <c r="G49" s="11"/>
    </row>
    <row r="50" spans="1:7" x14ac:dyDescent="0.25">
      <c r="A50" s="7" t="s">
        <v>20</v>
      </c>
      <c r="B50" s="13">
        <f>B18/B19*100</f>
        <v>96.715525544895868</v>
      </c>
      <c r="C50" s="13">
        <f>C18/C19*100</f>
        <v>95.526794128393803</v>
      </c>
      <c r="D50" s="13">
        <f>D18/D19*100</f>
        <v>88.840060189700026</v>
      </c>
      <c r="E50" s="13">
        <f>E18/E19*100</f>
        <v>98.010086240689304</v>
      </c>
      <c r="F50" s="13">
        <f>F18/F19*100</f>
        <v>99.340599999999995</v>
      </c>
    </row>
    <row r="51" spans="1:7" x14ac:dyDescent="0.25">
      <c r="A51" s="7" t="s">
        <v>21</v>
      </c>
      <c r="B51" s="13">
        <f>(B49+B50)/2</f>
        <v>91.597551753793454</v>
      </c>
      <c r="C51" s="13">
        <f>(C49+C50)/2</f>
        <v>95.379835420361275</v>
      </c>
      <c r="D51" s="13">
        <f>(D49+D50)/2</f>
        <v>87.771794181211249</v>
      </c>
      <c r="E51" s="13">
        <f>(E49+E50)/2</f>
        <v>96.418224116988085</v>
      </c>
      <c r="F51" s="13">
        <f>(F49+F50)/2</f>
        <v>51.452098245614032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13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-1.3080515772650236</v>
      </c>
      <c r="C57" s="13">
        <f>((C12/C10)-1)*100</f>
        <v>3.125</v>
      </c>
      <c r="D57" s="13">
        <f>((D12/D10)-1)*100</f>
        <v>8.7247214197276222</v>
      </c>
      <c r="E57" s="13">
        <f>((E12/E10)-1)*100</f>
        <v>-8.4932104148498837</v>
      </c>
      <c r="F57" s="13" t="e">
        <f>((F12/F10)-1)*100</f>
        <v>#DIV/0!</v>
      </c>
    </row>
    <row r="58" spans="1:7" x14ac:dyDescent="0.25">
      <c r="A58" s="7" t="s">
        <v>26</v>
      </c>
      <c r="B58" s="13">
        <f>((B33/B32)-1)*100</f>
        <v>6.0628650993813205</v>
      </c>
      <c r="C58" s="13">
        <f>((C33/C32)-1)*100</f>
        <v>1.9755973456235143</v>
      </c>
      <c r="D58" s="13">
        <f>((D33/D32)-1)*100</f>
        <v>3.4333120027844055</v>
      </c>
      <c r="E58" s="13">
        <f>((E33/E32)-1)*100</f>
        <v>-2.2985038164595739</v>
      </c>
      <c r="F58" s="13" t="e">
        <f>((F33/F32)-1)*100</f>
        <v>#DIV/0!</v>
      </c>
      <c r="G58" s="13"/>
    </row>
    <row r="59" spans="1:7" x14ac:dyDescent="0.25">
      <c r="A59" s="7" t="s">
        <v>27</v>
      </c>
      <c r="B59" s="13">
        <f>((B35/B34)-1)*100</f>
        <v>7.4686099468559641</v>
      </c>
      <c r="C59" s="13">
        <f>((C35/C34)-1)*100</f>
        <v>-1.114572270910541</v>
      </c>
      <c r="D59" s="13">
        <f>((D35/D34)-1)*100</f>
        <v>-4.8667951022067113</v>
      </c>
      <c r="E59" s="13">
        <f>((E35/E34)-1)*100</f>
        <v>6.7696688152587114</v>
      </c>
      <c r="F59" s="13" t="e">
        <f>((F35/F34)-1)*100</f>
        <v>#DIV/0!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16">
        <f>B17/(B11*12)</f>
        <v>165716.10732688883</v>
      </c>
      <c r="C62" s="16">
        <f t="shared" ref="C62:F62" si="3">C17/(C11*12)</f>
        <v>155917.99684931507</v>
      </c>
      <c r="D62" s="16">
        <f t="shared" si="3"/>
        <v>59576.342744323789</v>
      </c>
      <c r="E62" s="16">
        <f t="shared" si="3"/>
        <v>229657.84763103537</v>
      </c>
      <c r="F62" s="16">
        <f t="shared" si="3"/>
        <v>137609.64912280702</v>
      </c>
    </row>
    <row r="63" spans="1:7" x14ac:dyDescent="0.25">
      <c r="A63" s="7" t="s">
        <v>47</v>
      </c>
      <c r="B63" s="5">
        <f>B18/(B12*12)</f>
        <v>185338.25601801771</v>
      </c>
      <c r="C63" s="5">
        <f t="shared" ref="C63:F63" si="4">C18/(C12*12)</f>
        <v>156399.20687188339</v>
      </c>
      <c r="D63" s="5">
        <f t="shared" si="4"/>
        <v>61056.466349073795</v>
      </c>
      <c r="E63" s="5">
        <f t="shared" si="4"/>
        <v>237368.43825941934</v>
      </c>
      <c r="F63" s="5">
        <f t="shared" si="4"/>
        <v>3836075.4769230769</v>
      </c>
    </row>
    <row r="64" spans="1:7" x14ac:dyDescent="0.25">
      <c r="A64" s="7" t="s">
        <v>29</v>
      </c>
      <c r="B64" s="13">
        <f>(B62/B63)*B46</f>
        <v>81.898350484327537</v>
      </c>
      <c r="C64" s="13">
        <f>(C62/C63)*C46</f>
        <v>95.086370167735069</v>
      </c>
      <c r="D64" s="13">
        <f>(D62/D63)*D46</f>
        <v>85.63568917608653</v>
      </c>
      <c r="E64" s="13">
        <f>E62/E63*E46</f>
        <v>93.286209343948343</v>
      </c>
      <c r="F64" s="13">
        <f>F62/F63*F46</f>
        <v>1.8457158178468032</v>
      </c>
    </row>
    <row r="65" spans="1:7" x14ac:dyDescent="0.25">
      <c r="A65" s="7" t="s">
        <v>50</v>
      </c>
      <c r="B65" s="25">
        <f>B17/B11</f>
        <v>1988593.2879226659</v>
      </c>
      <c r="C65" s="25">
        <f t="shared" ref="C65:F66" si="5">C17/C11</f>
        <v>1871015.9621917808</v>
      </c>
      <c r="D65" s="25">
        <f t="shared" si="5"/>
        <v>714916.11293188552</v>
      </c>
      <c r="E65" s="25">
        <f t="shared" si="5"/>
        <v>2755894.1715724245</v>
      </c>
      <c r="F65" s="25">
        <f t="shared" si="5"/>
        <v>1651315.7894736843</v>
      </c>
    </row>
    <row r="66" spans="1:7" x14ac:dyDescent="0.25">
      <c r="A66" s="7" t="s">
        <v>51</v>
      </c>
      <c r="B66" s="25">
        <f>B18/B12</f>
        <v>2224059.0722162127</v>
      </c>
      <c r="C66" s="25">
        <f t="shared" si="5"/>
        <v>1876790.4824626006</v>
      </c>
      <c r="D66" s="25">
        <f t="shared" si="5"/>
        <v>732677.59618888551</v>
      </c>
      <c r="E66" s="25">
        <f t="shared" si="5"/>
        <v>2848421.2591130324</v>
      </c>
      <c r="F66" s="25">
        <f t="shared" si="5"/>
        <v>46032905.723076925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97.382320755711049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99.315281043170174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89</v>
      </c>
    </row>
    <row r="75" spans="1:7" x14ac:dyDescent="0.25">
      <c r="A75" t="s">
        <v>90</v>
      </c>
      <c r="B75" s="15"/>
      <c r="C75" s="15"/>
      <c r="D75" s="15"/>
    </row>
    <row r="76" spans="1:7" x14ac:dyDescent="0.25">
      <c r="A76" t="s">
        <v>68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46" t="s">
        <v>139</v>
      </c>
    </row>
    <row r="83" spans="1:1" x14ac:dyDescent="0.25">
      <c r="A83" t="s">
        <v>137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Tercer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2012-05-29T14:39:16Z</dcterms:created>
  <dcterms:modified xsi:type="dcterms:W3CDTF">2016-04-14T15:04:27Z</dcterms:modified>
</cp:coreProperties>
</file>