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FONABE\Indicadores\"/>
    </mc:Choice>
  </mc:AlternateContent>
  <bookViews>
    <workbookView xWindow="0" yWindow="0" windowWidth="21600" windowHeight="9735" activeTab="3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B13" i="3" l="1"/>
  <c r="C32" i="7"/>
  <c r="D32" i="7"/>
  <c r="E32" i="7"/>
  <c r="G32" i="7"/>
  <c r="G19" i="7"/>
  <c r="F19" i="7"/>
  <c r="E19" i="7"/>
  <c r="D19" i="7"/>
  <c r="C19" i="7"/>
  <c r="B16" i="7"/>
  <c r="E11" i="7"/>
  <c r="F11" i="7"/>
  <c r="G11" i="7"/>
  <c r="D11" i="7"/>
  <c r="B10" i="7"/>
  <c r="E17" i="5" l="1"/>
  <c r="C17" i="5"/>
  <c r="C62" i="2"/>
  <c r="D62" i="2"/>
  <c r="E62" i="2"/>
  <c r="F62" i="2"/>
  <c r="G62" i="2"/>
  <c r="C61" i="2"/>
  <c r="E61" i="2"/>
  <c r="B29" i="7" l="1"/>
  <c r="D18" i="7" l="1"/>
  <c r="E18" i="7"/>
  <c r="F18" i="7"/>
  <c r="G18" i="7"/>
  <c r="E17" i="7"/>
  <c r="F16" i="7"/>
  <c r="F32" i="7" s="1"/>
  <c r="D13" i="7"/>
  <c r="E13" i="7"/>
  <c r="F13" i="7"/>
  <c r="G13" i="7"/>
  <c r="D12" i="7"/>
  <c r="D56" i="7" s="1"/>
  <c r="E12" i="7"/>
  <c r="E56" i="7" s="1"/>
  <c r="F12" i="7"/>
  <c r="G12" i="7"/>
  <c r="G56" i="7" s="1"/>
  <c r="D49" i="7" l="1"/>
  <c r="D41" i="7"/>
  <c r="F41" i="7"/>
  <c r="D62" i="7"/>
  <c r="D33" i="7"/>
  <c r="D65" i="7"/>
  <c r="D50" i="7"/>
  <c r="F49" i="7"/>
  <c r="G49" i="7"/>
  <c r="G41" i="7"/>
  <c r="E45" i="7"/>
  <c r="E33" i="7"/>
  <c r="E65" i="7"/>
  <c r="E50" i="7"/>
  <c r="E62" i="7"/>
  <c r="F65" i="7"/>
  <c r="F50" i="7"/>
  <c r="F62" i="7"/>
  <c r="F33" i="7"/>
  <c r="E49" i="7"/>
  <c r="E41" i="7"/>
  <c r="G62" i="7"/>
  <c r="G33" i="7"/>
  <c r="G65" i="7"/>
  <c r="G50" i="7"/>
  <c r="G35" i="7" l="1"/>
  <c r="G57" i="7"/>
  <c r="E35" i="7"/>
  <c r="E57" i="7"/>
  <c r="D35" i="7"/>
  <c r="D57" i="7"/>
  <c r="F35" i="7"/>
  <c r="F57" i="7"/>
  <c r="G51" i="7"/>
  <c r="E51" i="7"/>
  <c r="F51" i="7"/>
  <c r="D51" i="7"/>
  <c r="F10" i="7" l="1"/>
  <c r="F56" i="7" s="1"/>
  <c r="G40" i="7" l="1"/>
  <c r="G44" i="7"/>
  <c r="F40" i="7"/>
  <c r="F44" i="7"/>
  <c r="D19" i="6"/>
  <c r="E19" i="6"/>
  <c r="F19" i="6"/>
  <c r="G19" i="6"/>
  <c r="C19" i="6"/>
  <c r="C65" i="4"/>
  <c r="D65" i="4"/>
  <c r="E65" i="4"/>
  <c r="F65" i="4"/>
  <c r="G65" i="4"/>
  <c r="C64" i="4"/>
  <c r="D64" i="4"/>
  <c r="E64" i="4"/>
  <c r="F64" i="4"/>
  <c r="G64" i="4"/>
  <c r="C62" i="4"/>
  <c r="D62" i="4"/>
  <c r="E62" i="4"/>
  <c r="F62" i="4"/>
  <c r="G62" i="4"/>
  <c r="C61" i="4"/>
  <c r="D61" i="4"/>
  <c r="E61" i="4"/>
  <c r="F61" i="4"/>
  <c r="G61" i="4"/>
  <c r="B29" i="4"/>
  <c r="B29" i="6" l="1"/>
  <c r="G18" i="6" l="1"/>
  <c r="G16" i="6"/>
  <c r="G32" i="6" s="1"/>
  <c r="G16" i="5"/>
  <c r="G32" i="5" s="1"/>
  <c r="G10" i="5"/>
  <c r="G12" i="6"/>
  <c r="G11" i="6"/>
  <c r="G40" i="6" s="1"/>
  <c r="G10" i="6"/>
  <c r="G50" i="6" l="1"/>
  <c r="G33" i="6"/>
  <c r="G35" i="6" s="1"/>
  <c r="G62" i="6"/>
  <c r="G65" i="6"/>
  <c r="G41" i="6"/>
  <c r="G44" i="6"/>
  <c r="G34" i="6"/>
  <c r="B29" i="5"/>
  <c r="D19" i="5" l="1"/>
  <c r="E19" i="5"/>
  <c r="F19" i="5"/>
  <c r="G19" i="5"/>
  <c r="C19" i="5"/>
  <c r="B29" i="3"/>
  <c r="B29" i="2"/>
  <c r="B29" i="1"/>
  <c r="B19" i="3" l="1"/>
  <c r="B17" i="3"/>
  <c r="G18" i="5" l="1"/>
  <c r="G33" i="5" s="1"/>
  <c r="G12" i="5"/>
  <c r="G11" i="5"/>
  <c r="B13" i="1" l="1"/>
  <c r="B12" i="1"/>
  <c r="B13" i="2" l="1"/>
  <c r="C56" i="2" l="1"/>
  <c r="D17" i="2" l="1"/>
  <c r="F17" i="2"/>
  <c r="G17" i="2"/>
  <c r="G20" i="2"/>
  <c r="G53" i="2" s="1"/>
  <c r="G32" i="2"/>
  <c r="G34" i="2" s="1"/>
  <c r="G33" i="2"/>
  <c r="G35" i="2" s="1"/>
  <c r="G44" i="2"/>
  <c r="G45" i="2"/>
  <c r="G49" i="2"/>
  <c r="G50" i="2"/>
  <c r="G56" i="2"/>
  <c r="G64" i="2"/>
  <c r="G65" i="2"/>
  <c r="D17" i="6" l="1"/>
  <c r="D61" i="2"/>
  <c r="D17" i="5"/>
  <c r="G46" i="2"/>
  <c r="G61" i="2"/>
  <c r="G63" i="2" s="1"/>
  <c r="G17" i="5"/>
  <c r="F61" i="2"/>
  <c r="F17" i="5"/>
  <c r="G51" i="2"/>
  <c r="D17" i="7"/>
  <c r="D45" i="7" s="1"/>
  <c r="D45" i="2"/>
  <c r="D64" i="2"/>
  <c r="G17" i="7"/>
  <c r="G17" i="6"/>
  <c r="F17" i="7"/>
  <c r="F17" i="6"/>
  <c r="F64" i="2"/>
  <c r="F45" i="2"/>
  <c r="G58" i="2"/>
  <c r="G57" i="2"/>
  <c r="G45" i="7" l="1"/>
  <c r="G46" i="7" s="1"/>
  <c r="G64" i="7"/>
  <c r="G61" i="7"/>
  <c r="F45" i="7"/>
  <c r="F46" i="7" s="1"/>
  <c r="F64" i="7"/>
  <c r="F61" i="7"/>
  <c r="G61" i="6"/>
  <c r="G45" i="6"/>
  <c r="G46" i="6" s="1"/>
  <c r="G64" i="6"/>
  <c r="C20" i="1"/>
  <c r="D20" i="1"/>
  <c r="E20" i="1"/>
  <c r="B11" i="4"/>
  <c r="G63" i="6" l="1"/>
  <c r="G63" i="7"/>
  <c r="F63" i="7"/>
  <c r="E64" i="3"/>
  <c r="F64" i="3"/>
  <c r="G64" i="3"/>
  <c r="G65" i="3" l="1"/>
  <c r="F65" i="3"/>
  <c r="E65" i="3"/>
  <c r="D65" i="3"/>
  <c r="C65" i="3"/>
  <c r="G65" i="1"/>
  <c r="F65" i="1"/>
  <c r="E65" i="1"/>
  <c r="F65" i="2"/>
  <c r="D65" i="2"/>
  <c r="D64" i="3"/>
  <c r="C64" i="3"/>
  <c r="C65" i="2" l="1"/>
  <c r="G64" i="1"/>
  <c r="F64" i="1"/>
  <c r="E64" i="1"/>
  <c r="D65" i="1"/>
  <c r="C65" i="1"/>
  <c r="E65" i="2"/>
  <c r="C12" i="7" l="1"/>
  <c r="C56" i="7" s="1"/>
  <c r="D64" i="1"/>
  <c r="C64" i="1"/>
  <c r="C41" i="7" l="1"/>
  <c r="C64" i="2" l="1"/>
  <c r="E64" i="2" l="1"/>
  <c r="C18" i="7" l="1"/>
  <c r="D16" i="6"/>
  <c r="D32" i="6" s="1"/>
  <c r="E16" i="6"/>
  <c r="E32" i="6" s="1"/>
  <c r="F16" i="6"/>
  <c r="F32" i="6" s="1"/>
  <c r="D18" i="6"/>
  <c r="E18" i="6"/>
  <c r="F18" i="6"/>
  <c r="C18" i="6"/>
  <c r="C16" i="6"/>
  <c r="C32" i="6" s="1"/>
  <c r="E13" i="6"/>
  <c r="F13" i="6"/>
  <c r="G13" i="6"/>
  <c r="G49" i="6" s="1"/>
  <c r="G51" i="6" s="1"/>
  <c r="D12" i="6"/>
  <c r="E12" i="6"/>
  <c r="F12" i="6"/>
  <c r="F41" i="6" s="1"/>
  <c r="E11" i="6"/>
  <c r="E40" i="6" s="1"/>
  <c r="F11" i="6"/>
  <c r="D10" i="6"/>
  <c r="E10" i="6"/>
  <c r="F10" i="6"/>
  <c r="C10" i="6"/>
  <c r="D10" i="5"/>
  <c r="E10" i="5"/>
  <c r="F10" i="5"/>
  <c r="C10" i="5"/>
  <c r="E40" i="4"/>
  <c r="F40" i="4"/>
  <c r="D41" i="4"/>
  <c r="E41" i="4"/>
  <c r="F41" i="4"/>
  <c r="E40" i="3"/>
  <c r="F40" i="3"/>
  <c r="D41" i="3"/>
  <c r="E41" i="3"/>
  <c r="F41" i="3"/>
  <c r="E40" i="1"/>
  <c r="F40" i="1"/>
  <c r="D41" i="1"/>
  <c r="E41" i="1"/>
  <c r="F41" i="1"/>
  <c r="E40" i="2"/>
  <c r="F40" i="2"/>
  <c r="D41" i="2"/>
  <c r="E41" i="2"/>
  <c r="F41" i="2"/>
  <c r="D18" i="5"/>
  <c r="D33" i="5" s="1"/>
  <c r="E18" i="5"/>
  <c r="E33" i="5" s="1"/>
  <c r="F18" i="5"/>
  <c r="F33" i="5" s="1"/>
  <c r="C18" i="5"/>
  <c r="C33" i="5" s="1"/>
  <c r="D16" i="5"/>
  <c r="D32" i="5" s="1"/>
  <c r="E16" i="5"/>
  <c r="E32" i="5" s="1"/>
  <c r="F16" i="5"/>
  <c r="F32" i="5" s="1"/>
  <c r="C16" i="5"/>
  <c r="C32" i="5" s="1"/>
  <c r="D12" i="5"/>
  <c r="D41" i="5" s="1"/>
  <c r="E12" i="5"/>
  <c r="E41" i="5" s="1"/>
  <c r="F12" i="5"/>
  <c r="F41" i="5" s="1"/>
  <c r="E11" i="5"/>
  <c r="E40" i="5" s="1"/>
  <c r="F11" i="5"/>
  <c r="F40" i="5" s="1"/>
  <c r="E13" i="5"/>
  <c r="F13" i="5"/>
  <c r="G13" i="5"/>
  <c r="C13" i="5"/>
  <c r="B12" i="4"/>
  <c r="D53" i="1"/>
  <c r="E53" i="1"/>
  <c r="F20" i="1"/>
  <c r="F53" i="1" s="1"/>
  <c r="G20" i="1"/>
  <c r="G53" i="1" s="1"/>
  <c r="B18" i="1"/>
  <c r="D20" i="3"/>
  <c r="D53" i="3" s="1"/>
  <c r="E20" i="3"/>
  <c r="E53" i="3" s="1"/>
  <c r="F20" i="3"/>
  <c r="F53" i="3" s="1"/>
  <c r="G20" i="3"/>
  <c r="G53" i="3" s="1"/>
  <c r="C20" i="3"/>
  <c r="B18" i="3"/>
  <c r="D20" i="4"/>
  <c r="D53" i="4" s="1"/>
  <c r="E20" i="4"/>
  <c r="E53" i="4" s="1"/>
  <c r="F20" i="4"/>
  <c r="F53" i="4" s="1"/>
  <c r="G20" i="4"/>
  <c r="G53" i="4" s="1"/>
  <c r="C20" i="4"/>
  <c r="B18" i="4"/>
  <c r="C13" i="7"/>
  <c r="C49" i="7" s="1"/>
  <c r="B13" i="4"/>
  <c r="D13" i="6"/>
  <c r="C13" i="6"/>
  <c r="D13" i="5"/>
  <c r="D20" i="2"/>
  <c r="D53" i="2" s="1"/>
  <c r="E20" i="2"/>
  <c r="E53" i="2" s="1"/>
  <c r="F20" i="2"/>
  <c r="F53" i="2" s="1"/>
  <c r="C20" i="2"/>
  <c r="B17" i="1"/>
  <c r="B19" i="1"/>
  <c r="E17" i="6"/>
  <c r="B18" i="2"/>
  <c r="B19" i="2"/>
  <c r="B12" i="3"/>
  <c r="B12" i="2"/>
  <c r="D40" i="4"/>
  <c r="D40" i="3"/>
  <c r="D40" i="1"/>
  <c r="B11" i="3"/>
  <c r="C11" i="6"/>
  <c r="C40" i="6" s="1"/>
  <c r="B62" i="2" l="1"/>
  <c r="D49" i="6"/>
  <c r="D41" i="6"/>
  <c r="D50" i="6"/>
  <c r="D33" i="6"/>
  <c r="D35" i="6" s="1"/>
  <c r="D62" i="6"/>
  <c r="D65" i="6"/>
  <c r="E49" i="6"/>
  <c r="E44" i="6"/>
  <c r="E41" i="6"/>
  <c r="C33" i="6"/>
  <c r="C50" i="6"/>
  <c r="D40" i="7"/>
  <c r="D44" i="7"/>
  <c r="D46" i="7" s="1"/>
  <c r="D64" i="7"/>
  <c r="D61" i="7"/>
  <c r="D34" i="6"/>
  <c r="F34" i="6"/>
  <c r="E62" i="6"/>
  <c r="E65" i="6"/>
  <c r="E45" i="6"/>
  <c r="E50" i="6"/>
  <c r="E33" i="6"/>
  <c r="E35" i="6" s="1"/>
  <c r="E64" i="6"/>
  <c r="E61" i="6"/>
  <c r="F65" i="6"/>
  <c r="F50" i="6"/>
  <c r="F62" i="6"/>
  <c r="F33" i="6"/>
  <c r="F35" i="6" s="1"/>
  <c r="F45" i="6"/>
  <c r="C62" i="7"/>
  <c r="C65" i="7"/>
  <c r="C50" i="7"/>
  <c r="C51" i="7" s="1"/>
  <c r="C33" i="7"/>
  <c r="C34" i="6"/>
  <c r="F49" i="6"/>
  <c r="E34" i="6"/>
  <c r="F61" i="6"/>
  <c r="F40" i="6"/>
  <c r="F64" i="6"/>
  <c r="F44" i="6"/>
  <c r="E64" i="7"/>
  <c r="E40" i="7"/>
  <c r="E44" i="7"/>
  <c r="E46" i="7" s="1"/>
  <c r="E61" i="7"/>
  <c r="G64" i="5"/>
  <c r="B65" i="4"/>
  <c r="B40" i="3"/>
  <c r="B41" i="3"/>
  <c r="B49" i="2"/>
  <c r="B65" i="2"/>
  <c r="F64" i="5"/>
  <c r="B19" i="6"/>
  <c r="E64" i="5"/>
  <c r="B65" i="1"/>
  <c r="C20" i="5"/>
  <c r="F20" i="5"/>
  <c r="F53" i="5" s="1"/>
  <c r="F65" i="5"/>
  <c r="D20" i="5"/>
  <c r="D53" i="5" s="1"/>
  <c r="D65" i="5"/>
  <c r="C20" i="6"/>
  <c r="F20" i="6"/>
  <c r="F53" i="6" s="1"/>
  <c r="D20" i="6"/>
  <c r="F20" i="7"/>
  <c r="F53" i="7" s="1"/>
  <c r="D20" i="7"/>
  <c r="D53" i="7" s="1"/>
  <c r="B65" i="3"/>
  <c r="G20" i="5"/>
  <c r="G53" i="5" s="1"/>
  <c r="G65" i="5"/>
  <c r="E20" i="5"/>
  <c r="E53" i="5" s="1"/>
  <c r="E65" i="5"/>
  <c r="G20" i="6"/>
  <c r="G53" i="6" s="1"/>
  <c r="E20" i="6"/>
  <c r="E20" i="7"/>
  <c r="E53" i="7" s="1"/>
  <c r="B13" i="6"/>
  <c r="B41" i="1"/>
  <c r="B13" i="5"/>
  <c r="B19" i="7"/>
  <c r="G20" i="7"/>
  <c r="G53" i="7" s="1"/>
  <c r="B40" i="4"/>
  <c r="B41" i="4"/>
  <c r="B41" i="2"/>
  <c r="B20" i="1"/>
  <c r="B18" i="5"/>
  <c r="B33" i="5" s="1"/>
  <c r="B16" i="5"/>
  <c r="B32" i="5" s="1"/>
  <c r="B16" i="6"/>
  <c r="B32" i="6" s="1"/>
  <c r="C17" i="6"/>
  <c r="B64" i="3"/>
  <c r="B11" i="1"/>
  <c r="B40" i="1" s="1"/>
  <c r="B10" i="5"/>
  <c r="B18" i="7"/>
  <c r="C20" i="7"/>
  <c r="C53" i="7" s="1"/>
  <c r="G34" i="7"/>
  <c r="G58" i="7" s="1"/>
  <c r="D11" i="6"/>
  <c r="D40" i="6" s="1"/>
  <c r="B11" i="2"/>
  <c r="B40" i="2" s="1"/>
  <c r="B19" i="4"/>
  <c r="B17" i="4"/>
  <c r="B64" i="4" s="1"/>
  <c r="B19" i="5"/>
  <c r="B13" i="7"/>
  <c r="B20" i="3"/>
  <c r="B12" i="7"/>
  <c r="B41" i="7" s="1"/>
  <c r="C12" i="5"/>
  <c r="B12" i="5" s="1"/>
  <c r="B41" i="5" s="1"/>
  <c r="C11" i="5"/>
  <c r="D11" i="5"/>
  <c r="D40" i="5" s="1"/>
  <c r="D40" i="2"/>
  <c r="B10" i="6"/>
  <c r="C12" i="6"/>
  <c r="C11" i="7"/>
  <c r="B18" i="6"/>
  <c r="B33" i="6" s="1"/>
  <c r="B20" i="4"/>
  <c r="B20" i="2"/>
  <c r="B17" i="2"/>
  <c r="B61" i="2" s="1"/>
  <c r="D51" i="6" l="1"/>
  <c r="C35" i="7"/>
  <c r="C57" i="7"/>
  <c r="F46" i="6"/>
  <c r="F63" i="6" s="1"/>
  <c r="E51" i="6"/>
  <c r="B12" i="6"/>
  <c r="B41" i="6" s="1"/>
  <c r="C49" i="6"/>
  <c r="C51" i="6" s="1"/>
  <c r="C44" i="6"/>
  <c r="C41" i="6"/>
  <c r="F51" i="6"/>
  <c r="C62" i="6"/>
  <c r="E46" i="6"/>
  <c r="E63" i="6" s="1"/>
  <c r="D44" i="6"/>
  <c r="C64" i="6"/>
  <c r="C61" i="6"/>
  <c r="D61" i="6"/>
  <c r="D64" i="6"/>
  <c r="C40" i="7"/>
  <c r="C44" i="7"/>
  <c r="C35" i="6"/>
  <c r="C65" i="6"/>
  <c r="D63" i="7"/>
  <c r="C45" i="6"/>
  <c r="D45" i="6"/>
  <c r="E63" i="7"/>
  <c r="B20" i="6"/>
  <c r="B64" i="2"/>
  <c r="B64" i="1"/>
  <c r="B17" i="5"/>
  <c r="C64" i="5"/>
  <c r="B65" i="7"/>
  <c r="B65" i="5"/>
  <c r="D64" i="5"/>
  <c r="C65" i="5"/>
  <c r="B20" i="7"/>
  <c r="B11" i="7"/>
  <c r="B40" i="7" s="1"/>
  <c r="B11" i="5"/>
  <c r="B40" i="5" s="1"/>
  <c r="B11" i="6"/>
  <c r="B40" i="6" s="1"/>
  <c r="C17" i="7"/>
  <c r="B17" i="6"/>
  <c r="B20" i="5"/>
  <c r="B65" i="6" l="1"/>
  <c r="C46" i="6"/>
  <c r="C63" i="6" s="1"/>
  <c r="C64" i="7"/>
  <c r="C61" i="7"/>
  <c r="C45" i="7"/>
  <c r="C46" i="7" s="1"/>
  <c r="D46" i="6"/>
  <c r="D63" i="6" s="1"/>
  <c r="B64" i="6"/>
  <c r="B17" i="7"/>
  <c r="B64" i="7" s="1"/>
  <c r="B64" i="5"/>
  <c r="C40" i="4"/>
  <c r="C40" i="3"/>
  <c r="C40" i="1"/>
  <c r="C63" i="7" l="1"/>
  <c r="C40" i="5"/>
  <c r="C40" i="2"/>
  <c r="C62" i="1" l="1"/>
  <c r="C41" i="2"/>
  <c r="D62" i="1" l="1"/>
  <c r="F62" i="1"/>
  <c r="C41" i="3"/>
  <c r="E62" i="3"/>
  <c r="G62" i="3"/>
  <c r="C62" i="3"/>
  <c r="C41" i="5"/>
  <c r="C41" i="1"/>
  <c r="E62" i="1"/>
  <c r="G62" i="1"/>
  <c r="D62" i="3"/>
  <c r="F62" i="3"/>
  <c r="C41" i="4"/>
  <c r="B24" i="7"/>
  <c r="B24" i="6"/>
  <c r="B24" i="5"/>
  <c r="G49" i="5"/>
  <c r="G56" i="3"/>
  <c r="G49" i="3"/>
  <c r="G50" i="3"/>
  <c r="G44" i="3"/>
  <c r="G32" i="3"/>
  <c r="G34" i="3" s="1"/>
  <c r="G33" i="3"/>
  <c r="G56" i="1"/>
  <c r="G49" i="1"/>
  <c r="G50" i="1"/>
  <c r="G44" i="1"/>
  <c r="G32" i="1"/>
  <c r="G34" i="1" s="1"/>
  <c r="G33" i="1"/>
  <c r="G51" i="3" l="1"/>
  <c r="G51" i="1"/>
  <c r="B69" i="6"/>
  <c r="G57" i="1"/>
  <c r="G35" i="1"/>
  <c r="G58" i="1" s="1"/>
  <c r="G57" i="3"/>
  <c r="G35" i="3"/>
  <c r="G58" i="3" s="1"/>
  <c r="G57" i="6" l="1"/>
  <c r="G56" i="4"/>
  <c r="G49" i="4"/>
  <c r="G50" i="4"/>
  <c r="G44" i="4"/>
  <c r="G32" i="4"/>
  <c r="G34" i="4" s="1"/>
  <c r="G33" i="4"/>
  <c r="G57" i="4" l="1"/>
  <c r="G35" i="4"/>
  <c r="G58" i="4" s="1"/>
  <c r="G51" i="4"/>
  <c r="F61" i="3"/>
  <c r="E61" i="3"/>
  <c r="D61" i="3"/>
  <c r="C61" i="3"/>
  <c r="F61" i="1"/>
  <c r="E61" i="1"/>
  <c r="D61" i="1"/>
  <c r="C61" i="1"/>
  <c r="G61" i="1" l="1"/>
  <c r="G45" i="1"/>
  <c r="G46" i="1" s="1"/>
  <c r="G61" i="3"/>
  <c r="G45" i="3"/>
  <c r="G46" i="3" s="1"/>
  <c r="G45" i="4"/>
  <c r="G46" i="4" s="1"/>
  <c r="G63" i="4" s="1"/>
  <c r="G63" i="3" l="1"/>
  <c r="G63" i="1"/>
  <c r="B69" i="7"/>
  <c r="B53" i="7"/>
  <c r="B50" i="7"/>
  <c r="B33" i="7"/>
  <c r="E53" i="6"/>
  <c r="D53" i="6"/>
  <c r="C53" i="6"/>
  <c r="B53" i="6"/>
  <c r="B50" i="6"/>
  <c r="F56" i="4"/>
  <c r="E56" i="4"/>
  <c r="D56" i="4"/>
  <c r="C56" i="4"/>
  <c r="C53" i="4"/>
  <c r="F50" i="4"/>
  <c r="E50" i="4"/>
  <c r="D50" i="4"/>
  <c r="C50" i="4"/>
  <c r="F49" i="4"/>
  <c r="E49" i="4"/>
  <c r="D49" i="4"/>
  <c r="C49" i="4"/>
  <c r="F45" i="4"/>
  <c r="E45" i="4"/>
  <c r="D45" i="4"/>
  <c r="C45" i="4"/>
  <c r="F44" i="4"/>
  <c r="E44" i="4"/>
  <c r="E46" i="4" s="1"/>
  <c r="E63" i="4" s="1"/>
  <c r="D44" i="4"/>
  <c r="D46" i="4" s="1"/>
  <c r="D63" i="4" s="1"/>
  <c r="C44" i="4"/>
  <c r="C46" i="4" s="1"/>
  <c r="C63" i="4" s="1"/>
  <c r="F33" i="4"/>
  <c r="F35" i="4" s="1"/>
  <c r="E33" i="4"/>
  <c r="D33" i="4"/>
  <c r="C33" i="4"/>
  <c r="F32" i="4"/>
  <c r="F34" i="4" s="1"/>
  <c r="E32" i="4"/>
  <c r="E34" i="4" s="1"/>
  <c r="D32" i="4"/>
  <c r="D34" i="4" s="1"/>
  <c r="C32" i="4"/>
  <c r="C34" i="4" s="1"/>
  <c r="F56" i="3"/>
  <c r="E56" i="3"/>
  <c r="D56" i="3"/>
  <c r="C56" i="3"/>
  <c r="C53" i="3"/>
  <c r="F50" i="3"/>
  <c r="E50" i="3"/>
  <c r="D50" i="3"/>
  <c r="C50" i="3"/>
  <c r="F49" i="3"/>
  <c r="E49" i="3"/>
  <c r="D49" i="3"/>
  <c r="C49" i="3"/>
  <c r="F45" i="3"/>
  <c r="E45" i="3"/>
  <c r="D45" i="3"/>
  <c r="C45" i="3"/>
  <c r="F44" i="3"/>
  <c r="E44" i="3"/>
  <c r="D44" i="3"/>
  <c r="C44" i="3"/>
  <c r="F33" i="3"/>
  <c r="F35" i="3" s="1"/>
  <c r="E33" i="3"/>
  <c r="D33" i="3"/>
  <c r="C33" i="3"/>
  <c r="F32" i="3"/>
  <c r="F34" i="3" s="1"/>
  <c r="E32" i="3"/>
  <c r="E34" i="3" s="1"/>
  <c r="D32" i="3"/>
  <c r="D34" i="3" s="1"/>
  <c r="C32" i="3"/>
  <c r="C34" i="3" s="1"/>
  <c r="F56" i="1"/>
  <c r="E56" i="1"/>
  <c r="D56" i="1"/>
  <c r="C56" i="1"/>
  <c r="C53" i="1"/>
  <c r="F50" i="1"/>
  <c r="E50" i="1"/>
  <c r="D50" i="1"/>
  <c r="C50" i="1"/>
  <c r="F49" i="1"/>
  <c r="E49" i="1"/>
  <c r="E51" i="1" s="1"/>
  <c r="D49" i="1"/>
  <c r="D51" i="1" s="1"/>
  <c r="C49" i="1"/>
  <c r="F45" i="1"/>
  <c r="E45" i="1"/>
  <c r="D45" i="1"/>
  <c r="C45" i="1"/>
  <c r="F44" i="1"/>
  <c r="F46" i="1" s="1"/>
  <c r="F63" i="1" s="1"/>
  <c r="E44" i="1"/>
  <c r="E46" i="1" s="1"/>
  <c r="D44" i="1"/>
  <c r="D46" i="1" s="1"/>
  <c r="C44" i="1"/>
  <c r="C46" i="1" s="1"/>
  <c r="F33" i="1"/>
  <c r="F35" i="1" s="1"/>
  <c r="E33" i="1"/>
  <c r="D33" i="1"/>
  <c r="C33" i="1"/>
  <c r="F32" i="1"/>
  <c r="F34" i="1" s="1"/>
  <c r="E32" i="1"/>
  <c r="E34" i="1" s="1"/>
  <c r="D32" i="1"/>
  <c r="D34" i="1" s="1"/>
  <c r="C32" i="1"/>
  <c r="C34" i="1" s="1"/>
  <c r="F56" i="2"/>
  <c r="E56" i="2"/>
  <c r="D56" i="2"/>
  <c r="C53" i="2"/>
  <c r="F50" i="2"/>
  <c r="E50" i="2"/>
  <c r="D50" i="2"/>
  <c r="C50" i="2"/>
  <c r="F49" i="2"/>
  <c r="E49" i="2"/>
  <c r="D49" i="2"/>
  <c r="E45" i="2"/>
  <c r="C45" i="2"/>
  <c r="F44" i="2"/>
  <c r="E44" i="2"/>
  <c r="D44" i="2"/>
  <c r="F33" i="2"/>
  <c r="F35" i="2" s="1"/>
  <c r="E33" i="2"/>
  <c r="E35" i="2" s="1"/>
  <c r="D33" i="2"/>
  <c r="C33" i="2"/>
  <c r="F32" i="2"/>
  <c r="F34" i="2" s="1"/>
  <c r="E32" i="2"/>
  <c r="E34" i="2" s="1"/>
  <c r="D32" i="2"/>
  <c r="D34" i="2" s="1"/>
  <c r="F58" i="4" l="1"/>
  <c r="D51" i="4"/>
  <c r="F58" i="1"/>
  <c r="E51" i="3"/>
  <c r="E46" i="3"/>
  <c r="E63" i="3" s="1"/>
  <c r="F58" i="3"/>
  <c r="F58" i="2"/>
  <c r="C51" i="1"/>
  <c r="C46" i="3"/>
  <c r="C63" i="3" s="1"/>
  <c r="F46" i="3"/>
  <c r="F63" i="3" s="1"/>
  <c r="D46" i="3"/>
  <c r="D63" i="3" s="1"/>
  <c r="D57" i="2"/>
  <c r="F57" i="2"/>
  <c r="F51" i="4"/>
  <c r="E51" i="4"/>
  <c r="C51" i="4"/>
  <c r="F46" i="4"/>
  <c r="F63" i="4" s="1"/>
  <c r="F51" i="3"/>
  <c r="D51" i="3"/>
  <c r="C51" i="3"/>
  <c r="F51" i="1"/>
  <c r="E63" i="1"/>
  <c r="E57" i="6"/>
  <c r="D57" i="6"/>
  <c r="F57" i="6"/>
  <c r="E57" i="4"/>
  <c r="C57" i="4"/>
  <c r="D57" i="4"/>
  <c r="F57" i="4"/>
  <c r="C57" i="3"/>
  <c r="D57" i="3"/>
  <c r="F57" i="3"/>
  <c r="E57" i="3"/>
  <c r="E57" i="1"/>
  <c r="C57" i="1"/>
  <c r="D57" i="1"/>
  <c r="F57" i="1"/>
  <c r="F51" i="2"/>
  <c r="E51" i="2"/>
  <c r="D51" i="2"/>
  <c r="F46" i="2"/>
  <c r="F63" i="2" s="1"/>
  <c r="E46" i="2"/>
  <c r="E63" i="2" s="1"/>
  <c r="D46" i="2"/>
  <c r="D63" i="2" s="1"/>
  <c r="E35" i="4"/>
  <c r="E58" i="4" s="1"/>
  <c r="C35" i="4"/>
  <c r="C58" i="4" s="1"/>
  <c r="D35" i="4"/>
  <c r="D58" i="4" s="1"/>
  <c r="E35" i="3"/>
  <c r="E58" i="3" s="1"/>
  <c r="C35" i="3"/>
  <c r="C58" i="3" s="1"/>
  <c r="D35" i="3"/>
  <c r="D58" i="3" s="1"/>
  <c r="C63" i="1"/>
  <c r="D63" i="1"/>
  <c r="C35" i="1"/>
  <c r="C58" i="1" s="1"/>
  <c r="E35" i="1"/>
  <c r="E58" i="1" s="1"/>
  <c r="D35" i="1"/>
  <c r="D58" i="1" s="1"/>
  <c r="E58" i="2"/>
  <c r="E57" i="2"/>
  <c r="C35" i="2"/>
  <c r="D35" i="2"/>
  <c r="D58" i="2" s="1"/>
  <c r="B23" i="6" l="1"/>
  <c r="B68" i="6" s="1"/>
  <c r="B45" i="6"/>
  <c r="B23" i="7"/>
  <c r="B68" i="7" s="1"/>
  <c r="B45" i="7"/>
  <c r="G61" i="5"/>
  <c r="G62" i="5"/>
  <c r="F61" i="5"/>
  <c r="F62" i="5"/>
  <c r="E61" i="5"/>
  <c r="E62" i="5"/>
  <c r="D61" i="5"/>
  <c r="D62" i="5"/>
  <c r="C61" i="5"/>
  <c r="C62" i="5"/>
  <c r="B23" i="4"/>
  <c r="B68" i="4" s="1"/>
  <c r="B32" i="4"/>
  <c r="B23" i="3"/>
  <c r="B68" i="3" s="1"/>
  <c r="B32" i="3"/>
  <c r="B23" i="1"/>
  <c r="B68" i="1" s="1"/>
  <c r="B32" i="1"/>
  <c r="B23" i="2"/>
  <c r="B68" i="2" s="1"/>
  <c r="G44" i="5"/>
  <c r="C44" i="2" l="1"/>
  <c r="C46" i="2" s="1"/>
  <c r="C49" i="2"/>
  <c r="C51" i="2" s="1"/>
  <c r="B32" i="2"/>
  <c r="C32" i="2"/>
  <c r="G50" i="5"/>
  <c r="G51" i="5" s="1"/>
  <c r="G45" i="5"/>
  <c r="G46" i="5" s="1"/>
  <c r="F44" i="5"/>
  <c r="F49" i="5"/>
  <c r="E49" i="5"/>
  <c r="E44" i="5"/>
  <c r="D49" i="5"/>
  <c r="D44" i="5"/>
  <c r="B50" i="4"/>
  <c r="B69" i="4"/>
  <c r="B53" i="4"/>
  <c r="B33" i="4"/>
  <c r="B45" i="4"/>
  <c r="B53" i="3"/>
  <c r="B33" i="3"/>
  <c r="B69" i="3"/>
  <c r="B50" i="3"/>
  <c r="B45" i="3"/>
  <c r="B50" i="1"/>
  <c r="B69" i="1"/>
  <c r="B53" i="1"/>
  <c r="B33" i="1"/>
  <c r="B45" i="1"/>
  <c r="B53" i="5"/>
  <c r="F50" i="5"/>
  <c r="E50" i="5"/>
  <c r="D50" i="5"/>
  <c r="C53" i="5"/>
  <c r="B53" i="2"/>
  <c r="B33" i="2"/>
  <c r="B69" i="2"/>
  <c r="B50" i="2"/>
  <c r="C50" i="5"/>
  <c r="F45" i="5"/>
  <c r="E45" i="5"/>
  <c r="D45" i="5"/>
  <c r="B45" i="2"/>
  <c r="C45" i="5"/>
  <c r="D51" i="5" l="1"/>
  <c r="F51" i="5"/>
  <c r="G57" i="5"/>
  <c r="G35" i="5"/>
  <c r="F57" i="5"/>
  <c r="F35" i="5"/>
  <c r="E51" i="5"/>
  <c r="F46" i="5"/>
  <c r="F63" i="5" s="1"/>
  <c r="B44" i="2"/>
  <c r="B46" i="2" s="1"/>
  <c r="B57" i="6"/>
  <c r="C57" i="6"/>
  <c r="C34" i="2"/>
  <c r="C58" i="2" s="1"/>
  <c r="C57" i="2"/>
  <c r="B32" i="7"/>
  <c r="B57" i="7" s="1"/>
  <c r="C63" i="2"/>
  <c r="B61" i="7"/>
  <c r="B61" i="5"/>
  <c r="D46" i="5"/>
  <c r="D63" i="5" s="1"/>
  <c r="B23" i="5"/>
  <c r="B68" i="5" s="1"/>
  <c r="G63" i="5"/>
  <c r="E46" i="5"/>
  <c r="E63" i="5" s="1"/>
  <c r="B50" i="5"/>
  <c r="B51" i="2"/>
  <c r="B62" i="7"/>
  <c r="B62" i="5"/>
  <c r="C44" i="5"/>
  <c r="C46" i="5" s="1"/>
  <c r="C49" i="5"/>
  <c r="C51" i="5" s="1"/>
  <c r="B57" i="4"/>
  <c r="B57" i="3"/>
  <c r="B69" i="5"/>
  <c r="B57" i="1"/>
  <c r="B45" i="5"/>
  <c r="B61" i="6"/>
  <c r="B62" i="6"/>
  <c r="E57" i="5"/>
  <c r="E35" i="5"/>
  <c r="D57" i="5"/>
  <c r="D35" i="5"/>
  <c r="C57" i="5"/>
  <c r="C35" i="5"/>
  <c r="B35" i="2"/>
  <c r="B57" i="2"/>
  <c r="C34" i="5"/>
  <c r="B61" i="4"/>
  <c r="B62" i="4"/>
  <c r="B34" i="4"/>
  <c r="B61" i="3"/>
  <c r="B62" i="3"/>
  <c r="B34" i="3"/>
  <c r="B61" i="1"/>
  <c r="B62" i="1"/>
  <c r="B34" i="1"/>
  <c r="B56" i="2"/>
  <c r="B57" i="5" l="1"/>
  <c r="C34" i="7"/>
  <c r="C58" i="7" s="1"/>
  <c r="B63" i="2"/>
  <c r="C58" i="6"/>
  <c r="B34" i="2"/>
  <c r="B58" i="2" s="1"/>
  <c r="B35" i="5"/>
  <c r="G56" i="5"/>
  <c r="G34" i="5"/>
  <c r="G58" i="5" s="1"/>
  <c r="G56" i="6"/>
  <c r="G58" i="6"/>
  <c r="D34" i="7"/>
  <c r="D58" i="7" s="1"/>
  <c r="F34" i="7"/>
  <c r="F58" i="7" s="1"/>
  <c r="C56" i="6"/>
  <c r="C56" i="5"/>
  <c r="B56" i="5"/>
  <c r="D34" i="5"/>
  <c r="D58" i="5" s="1"/>
  <c r="D56" i="5"/>
  <c r="F34" i="5"/>
  <c r="F58" i="5" s="1"/>
  <c r="F56" i="5"/>
  <c r="E34" i="7"/>
  <c r="E58" i="7" s="1"/>
  <c r="C58" i="5"/>
  <c r="E56" i="5"/>
  <c r="E34" i="5"/>
  <c r="E58" i="5" s="1"/>
  <c r="B44" i="4"/>
  <c r="B46" i="4" s="1"/>
  <c r="B56" i="4"/>
  <c r="B49" i="4"/>
  <c r="B51" i="4" s="1"/>
  <c r="B35" i="4"/>
  <c r="B58" i="4" s="1"/>
  <c r="B49" i="3"/>
  <c r="B51" i="3" s="1"/>
  <c r="B56" i="3"/>
  <c r="B44" i="3"/>
  <c r="B46" i="3" s="1"/>
  <c r="B35" i="3"/>
  <c r="B58" i="3" s="1"/>
  <c r="B44" i="1"/>
  <c r="B46" i="1" s="1"/>
  <c r="B56" i="1"/>
  <c r="B49" i="1"/>
  <c r="B51" i="1" s="1"/>
  <c r="C63" i="5"/>
  <c r="B35" i="1"/>
  <c r="B58" i="1" s="1"/>
  <c r="B49" i="5"/>
  <c r="B51" i="5" s="1"/>
  <c r="B44" i="5"/>
  <c r="B46" i="5" s="1"/>
  <c r="B63" i="5" s="1"/>
  <c r="B49" i="7"/>
  <c r="B51" i="7" s="1"/>
  <c r="B44" i="7"/>
  <c r="B46" i="7" s="1"/>
  <c r="B35" i="7"/>
  <c r="D58" i="6"/>
  <c r="D56" i="6"/>
  <c r="F58" i="6"/>
  <c r="F56" i="6"/>
  <c r="B49" i="6"/>
  <c r="B51" i="6" s="1"/>
  <c r="B44" i="6"/>
  <c r="B46" i="6" s="1"/>
  <c r="B35" i="6"/>
  <c r="E58" i="6"/>
  <c r="E56" i="6"/>
  <c r="B34" i="7"/>
  <c r="B34" i="6"/>
  <c r="B34" i="5" l="1"/>
  <c r="B58" i="5" s="1"/>
  <c r="B56" i="7"/>
  <c r="B56" i="6"/>
  <c r="B58" i="7"/>
  <c r="B63" i="4"/>
  <c r="B63" i="3"/>
  <c r="B63" i="1"/>
  <c r="B63" i="6"/>
  <c r="B63" i="7"/>
  <c r="B58" i="6"/>
</calcChain>
</file>

<file path=xl/comments1.xml><?xml version="1.0" encoding="utf-8"?>
<comments xmlns="http://schemas.openxmlformats.org/spreadsheetml/2006/main">
  <authors>
    <author>catherine.mata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Corresponde a las becas pagadas en el período
</t>
        </r>
      </text>
    </comment>
  </commentList>
</comments>
</file>

<file path=xl/sharedStrings.xml><?xml version="1.0" encoding="utf-8"?>
<sst xmlns="http://schemas.openxmlformats.org/spreadsheetml/2006/main" count="522" uniqueCount="133">
  <si>
    <t>Indicador</t>
  </si>
  <si>
    <t>Total programa</t>
  </si>
  <si>
    <t>TED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</si>
  <si>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</si>
  <si>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</si>
  <si>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</si>
  <si>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</si>
  <si>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</si>
  <si>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</si>
  <si>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</si>
  <si>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</si>
  <si>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</si>
  <si>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</si>
  <si>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</si>
  <si>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</si>
  <si>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</si>
  <si>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</si>
  <si>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</si>
  <si>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</si>
  <si>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</si>
  <si>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</si>
  <si>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</si>
  <si>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</si>
  <si>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</si>
  <si>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</si>
  <si>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</si>
  <si>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</si>
  <si>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</si>
  <si>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</si>
  <si>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</si>
  <si>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</si>
  <si>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</si>
  <si>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Post-secundaria Regular</t>
  </si>
  <si>
    <t>n.d</t>
  </si>
  <si>
    <t>Fuentes:</t>
  </si>
  <si>
    <t xml:space="preserve">Gasto mensual programado por beneficiario (GPB) </t>
  </si>
  <si>
    <t xml:space="preserve">Gasto mensual efectivo por beneficiario (GEB) </t>
  </si>
  <si>
    <t>Notas:</t>
  </si>
  <si>
    <t>Beneficios</t>
  </si>
  <si>
    <t>n.d.</t>
  </si>
  <si>
    <t>Niñ@s trabajadores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</si>
  <si>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</si>
  <si>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</si>
  <si>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</si>
  <si>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</si>
  <si>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</si>
  <si>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</si>
  <si>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</si>
  <si>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</si>
  <si>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</si>
  <si>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</si>
  <si>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</si>
  <si>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</si>
  <si>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</si>
  <si>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</si>
  <si>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</si>
  <si>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</si>
  <si>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</si>
  <si>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</si>
  <si>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</si>
  <si>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</si>
  <si>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 2013</t>
  </si>
  <si>
    <t>IPC ( 2013)</t>
  </si>
  <si>
    <t>Gasto efectivo real  2013</t>
  </si>
  <si>
    <t>Gasto efectivo real por beneficiario  2013</t>
  </si>
  <si>
    <t>Beneficiarios</t>
  </si>
  <si>
    <t>Se incluye ley más convenio.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</si>
  <si>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</si>
  <si>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</si>
  <si>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</si>
  <si>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</si>
  <si>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</si>
  <si>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</si>
  <si>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</si>
  <si>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</si>
  <si>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>Indicadores aplicados a FONABE. Primer trimestre 2014</t>
  </si>
  <si>
    <t>Programacion y modificaciones de metas 2014, DESAF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</si>
  <si>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</si>
  <si>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</si>
  <si>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</si>
  <si>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</si>
  <si>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</si>
  <si>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</si>
  <si>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</si>
  <si>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Indicadores aplicados a FONABE. Segundo trimestre 2014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</si>
  <si>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</si>
  <si>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</si>
  <si>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</si>
  <si>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</si>
  <si>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</si>
  <si>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</si>
  <si>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Informes Trimestrales 2013 y 2014, FONABE</t>
  </si>
  <si>
    <t>Indicadores aplicados a FONABE.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</si>
  <si>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</si>
  <si>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</si>
  <si>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</si>
  <si>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</si>
  <si>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</si>
  <si>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</si>
  <si>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aplicados a FONABE.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</si>
  <si>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</si>
  <si>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</si>
  <si>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</si>
  <si>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</si>
  <si>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</si>
  <si>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</si>
  <si>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aplicados a FONABE. 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</si>
  <si>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</si>
  <si>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</si>
  <si>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</si>
  <si>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</si>
  <si>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</si>
  <si>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</si>
  <si>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Indicadores aplicados a FONABE. Tercer trimestre ACUMULADO 2014</t>
  </si>
  <si>
    <t>Indicadores aplicados a FONABE. Año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</si>
  <si>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</si>
  <si>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</si>
  <si>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</si>
  <si>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</si>
  <si>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</si>
  <si>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</si>
  <si>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 xml:space="preserve">  Primaria</t>
  </si>
  <si>
    <t xml:space="preserve"> </t>
  </si>
  <si>
    <t>PSR     0,43%Ley</t>
  </si>
  <si>
    <t>Informes Trimestrales  2014, FONABE</t>
  </si>
  <si>
    <t>Informes Trimestrales 2014, FONABE</t>
  </si>
  <si>
    <t>Primaria</t>
  </si>
  <si>
    <t>nd</t>
  </si>
  <si>
    <t xml:space="preserve">nd: FONABE no pudo presentó información correcta de forma trimestral en el año 2013, en relación al número de beneficiarios ni el gasto efectivo. </t>
  </si>
  <si>
    <t>Para los datos de beneficiarios y gasto efectivo anual del año 2013, se utilizó la información del informe cantonal 2013 debido a la imposibilidad de tener datos de beneficiarios y gasto efectivo en forma trimestral por parte de FONABE.</t>
  </si>
  <si>
    <t>Fecha de actualización: 06/05/2015</t>
  </si>
  <si>
    <t>Notas: 06/05/2015</t>
  </si>
  <si>
    <t>fecha de actualización: 06/05/2015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</si>
</sst>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0" xfId="0" applyFont="1" applyFill="1"/>
    <xf numFmtId="43" fontId="0" fillId="0" borderId="0" xfId="1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66" fontId="0" fillId="0" borderId="0" xfId="1" applyNumberFormat="1" applyFont="1" applyFill="1"/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43" fontId="0" fillId="0" borderId="0" xfId="1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Fill="1"/>
    <xf numFmtId="4" fontId="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166" fontId="8" fillId="0" borderId="0" xfId="1" applyNumberFormat="1" applyFont="1" applyFill="1" applyAlignment="1">
      <alignment horizontal="center"/>
    </xf>
    <xf numFmtId="3" fontId="8" fillId="0" borderId="0" xfId="0" applyNumberFormat="1" applyFont="1" applyFill="1"/>
    <xf numFmtId="3" fontId="8" fillId="0" borderId="0" xfId="0" applyNumberFormat="1" applyFont="1" applyFill="1" applyAlignment="1"/>
    <xf numFmtId="4" fontId="8" fillId="0" borderId="0" xfId="0" applyNumberFormat="1" applyFont="1" applyFill="1" applyAlignment="1"/>
    <xf numFmtId="0" fontId="8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0" fillId="0" borderId="3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</a:t>
            </a:r>
            <a:r>
              <a:rPr lang="es-CR" baseline="0"/>
              <a:t> de cobertura potencial 2014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</c:strCache>
            </c:strRef>
          </c:cat>
          <c:val>
            <c:numRef>
              <c:f>Anual!$B$40:$F$40</c:f>
              <c:numCache>
                <c:formatCode>#,##0.00</c:formatCode>
                <c:ptCount val="5"/>
                <c:pt idx="0">
                  <c:v>44.273626174253117</c:v>
                </c:pt>
                <c:pt idx="1">
                  <c:v>49.478885570707256</c:v>
                </c:pt>
                <c:pt idx="2">
                  <c:v>1.5569654742906076</c:v>
                </c:pt>
                <c:pt idx="3">
                  <c:v>42.309623430962347</c:v>
                </c:pt>
                <c:pt idx="4">
                  <c:v>8.9583900976995832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</c:strCache>
            </c:strRef>
          </c:cat>
          <c:val>
            <c:numRef>
              <c:f>Anual!$B$41:$F$41</c:f>
              <c:numCache>
                <c:formatCode>#,##0.00</c:formatCode>
                <c:ptCount val="5"/>
                <c:pt idx="0">
                  <c:v>43.313686852396884</c:v>
                </c:pt>
                <c:pt idx="1">
                  <c:v>49.16815585059387</c:v>
                </c:pt>
                <c:pt idx="2">
                  <c:v>1.2718461718111402</c:v>
                </c:pt>
                <c:pt idx="3">
                  <c:v>35.649930264993031</c:v>
                </c:pt>
                <c:pt idx="4">
                  <c:v>5.6585963956249259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3687648"/>
        <c:axId val="563682944"/>
      </c:barChart>
      <c:catAx>
        <c:axId val="5636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3682944"/>
        <c:crosses val="autoZero"/>
        <c:auto val="1"/>
        <c:lblAlgn val="ctr"/>
        <c:lblOffset val="100"/>
        <c:noMultiLvlLbl val="0"/>
      </c:catAx>
      <c:valAx>
        <c:axId val="5636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36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Anual!$B$44:$G$44</c:f>
              <c:numCache>
                <c:formatCode>#,##0.00</c:formatCode>
                <c:ptCount val="6"/>
                <c:pt idx="0">
                  <c:v>97.831803254429445</c:v>
                </c:pt>
                <c:pt idx="1">
                  <c:v>99.371995313699344</c:v>
                </c:pt>
                <c:pt idx="2">
                  <c:v>81.687500000000014</c:v>
                </c:pt>
                <c:pt idx="3">
                  <c:v>84.259625527426167</c:v>
                </c:pt>
                <c:pt idx="4">
                  <c:v>63.165326960677803</c:v>
                </c:pt>
                <c:pt idx="5">
                  <c:v>38.484848484848492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Anual!$B$45:$G$45</c:f>
              <c:numCache>
                <c:formatCode>#,##0.00</c:formatCode>
                <c:ptCount val="6"/>
                <c:pt idx="0">
                  <c:v>93.881240189746947</c:v>
                </c:pt>
                <c:pt idx="1">
                  <c:v>99.399466731305296</c:v>
                </c:pt>
                <c:pt idx="2">
                  <c:v>93.71875</c:v>
                </c:pt>
                <c:pt idx="3">
                  <c:v>84.70134493670885</c:v>
                </c:pt>
                <c:pt idx="4">
                  <c:v>58.892298500977624</c:v>
                </c:pt>
                <c:pt idx="5">
                  <c:v>38.636363636363633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Anual!$B$46:$G$46</c:f>
              <c:numCache>
                <c:formatCode>#,##0.00</c:formatCode>
                <c:ptCount val="6"/>
                <c:pt idx="0">
                  <c:v>95.856521722088189</c:v>
                </c:pt>
                <c:pt idx="1">
                  <c:v>99.385731022502313</c:v>
                </c:pt>
                <c:pt idx="2">
                  <c:v>87.703125</c:v>
                </c:pt>
                <c:pt idx="3">
                  <c:v>84.480485232067508</c:v>
                </c:pt>
                <c:pt idx="4">
                  <c:v>61.02881273082771</c:v>
                </c:pt>
                <c:pt idx="5">
                  <c:v>38.560606060606062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3686864"/>
        <c:axId val="564009936"/>
      </c:barChart>
      <c:catAx>
        <c:axId val="5636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09936"/>
        <c:crosses val="autoZero"/>
        <c:auto val="1"/>
        <c:lblAlgn val="ctr"/>
        <c:lblOffset val="100"/>
        <c:noMultiLvlLbl val="0"/>
      </c:catAx>
      <c:valAx>
        <c:axId val="56400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368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Anual!$B$49:$G$49</c:f>
              <c:numCache>
                <c:formatCode>#,##0.00</c:formatCode>
                <c:ptCount val="6"/>
                <c:pt idx="0">
                  <c:v>97.831246442800207</c:v>
                </c:pt>
                <c:pt idx="1">
                  <c:v>99.371995313699344</c:v>
                </c:pt>
                <c:pt idx="2">
                  <c:v>81.687500000000014</c:v>
                </c:pt>
                <c:pt idx="3">
                  <c:v>84.259625527426167</c:v>
                </c:pt>
                <c:pt idx="4">
                  <c:v>63.151607298001736</c:v>
                </c:pt>
                <c:pt idx="5">
                  <c:v>38.484848484848492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Anual!$B$50:$G$50</c:f>
              <c:numCache>
                <c:formatCode>#,##0.00</c:formatCode>
                <c:ptCount val="6"/>
                <c:pt idx="0">
                  <c:v>93.881240189746947</c:v>
                </c:pt>
                <c:pt idx="1">
                  <c:v>99.399466731305296</c:v>
                </c:pt>
                <c:pt idx="2">
                  <c:v>93.71875</c:v>
                </c:pt>
                <c:pt idx="3">
                  <c:v>84.70134493670885</c:v>
                </c:pt>
                <c:pt idx="4">
                  <c:v>58.892298500977624</c:v>
                </c:pt>
                <c:pt idx="5">
                  <c:v>38.636363636363633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Anual!$B$51:$G$51</c:f>
              <c:numCache>
                <c:formatCode>#,##0.00</c:formatCode>
                <c:ptCount val="6"/>
                <c:pt idx="0">
                  <c:v>95.856243316273577</c:v>
                </c:pt>
                <c:pt idx="1">
                  <c:v>99.385731022502313</c:v>
                </c:pt>
                <c:pt idx="2">
                  <c:v>87.703125</c:v>
                </c:pt>
                <c:pt idx="3">
                  <c:v>84.480485232067508</c:v>
                </c:pt>
                <c:pt idx="4">
                  <c:v>61.021952899489676</c:v>
                </c:pt>
                <c:pt idx="5">
                  <c:v>38.560606060606062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014248"/>
        <c:axId val="564010328"/>
      </c:barChart>
      <c:catAx>
        <c:axId val="56401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0328"/>
        <c:crosses val="autoZero"/>
        <c:auto val="1"/>
        <c:lblAlgn val="ctr"/>
        <c:lblOffset val="100"/>
        <c:noMultiLvlLbl val="0"/>
      </c:catAx>
      <c:valAx>
        <c:axId val="56401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expansión 2014</a:t>
            </a:r>
          </a:p>
        </c:rich>
      </c:tx>
      <c:layout>
        <c:manualLayout>
          <c:xMode val="edge"/>
          <c:yMode val="edge"/>
          <c:x val="0.16183333333333341"/>
          <c:y val="2.7777777777777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(Anual!$B$4,Anual!$C$5:$E$5,Anual!$G$5)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(Anual!$B$56:$E$56,Anual!$G$56)</c:f>
              <c:numCache>
                <c:formatCode>#,##0.00</c:formatCode>
                <c:ptCount val="5"/>
                <c:pt idx="0">
                  <c:v>7.9192722067354504</c:v>
                </c:pt>
                <c:pt idx="1">
                  <c:v>8.8550932441163752</c:v>
                </c:pt>
                <c:pt idx="2">
                  <c:v>-82.385444743935309</c:v>
                </c:pt>
                <c:pt idx="3">
                  <c:v>-11.467858132446651</c:v>
                </c:pt>
                <c:pt idx="4">
                  <c:v>-23.030303030303024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(Anual!$B$4,Anual!$C$5:$E$5,Anual!$G$5)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(Anual!$B$57:$E$57,Anual!$G$57)</c:f>
              <c:numCache>
                <c:formatCode>#,##0.00</c:formatCode>
                <c:ptCount val="5"/>
                <c:pt idx="0">
                  <c:v>20.945818786353687</c:v>
                </c:pt>
                <c:pt idx="1">
                  <c:v>27.087836885797856</c:v>
                </c:pt>
                <c:pt idx="2">
                  <c:v>-78.490389660468736</c:v>
                </c:pt>
                <c:pt idx="3">
                  <c:v>-14.59539236950228</c:v>
                </c:pt>
                <c:pt idx="4">
                  <c:v>-24.438882089318735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(Anual!$B$4,Anual!$C$5:$E$5,Anual!$G$5)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Niñ@s trabajadores</c:v>
                </c:pt>
              </c:strCache>
            </c:strRef>
          </c:cat>
          <c:val>
            <c:numRef>
              <c:f>(Anual!$B$58:$E$58,Anual!$G$58)</c:f>
              <c:numCache>
                <c:formatCode>#,##0.00</c:formatCode>
                <c:ptCount val="5"/>
                <c:pt idx="0">
                  <c:v>12.070639759934565</c:v>
                </c:pt>
                <c:pt idx="1">
                  <c:v>16.749554934276787</c:v>
                </c:pt>
                <c:pt idx="2">
                  <c:v>22.112707512870688</c:v>
                </c:pt>
                <c:pt idx="3">
                  <c:v>-3.5326539842834848</c:v>
                </c:pt>
                <c:pt idx="4">
                  <c:v>-1.8300436593511216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011112"/>
        <c:axId val="564010720"/>
      </c:barChart>
      <c:catAx>
        <c:axId val="56401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0720"/>
        <c:crosses val="autoZero"/>
        <c:auto val="1"/>
        <c:lblAlgn val="ctr"/>
        <c:lblOffset val="100"/>
        <c:noMultiLvlLbl val="0"/>
      </c:catAx>
      <c:valAx>
        <c:axId val="5640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transferencia efectiva del gasto (ITG)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Anual!$B$53:$G$53</c:f>
              <c:numCache>
                <c:formatCode>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4011504"/>
        <c:axId val="564011896"/>
      </c:barChart>
      <c:catAx>
        <c:axId val="56401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1896"/>
        <c:crosses val="autoZero"/>
        <c:auto val="1"/>
        <c:lblAlgn val="ctr"/>
        <c:lblOffset val="100"/>
        <c:noMultiLvlLbl val="0"/>
      </c:catAx>
      <c:valAx>
        <c:axId val="56401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gasto medio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Anual!$B$64:$G$64</c:f>
              <c:numCache>
                <c:formatCode>#,##0.00</c:formatCode>
                <c:ptCount val="6"/>
                <c:pt idx="0">
                  <c:v>235836.51585950973</c:v>
                </c:pt>
                <c:pt idx="1">
                  <c:v>204000</c:v>
                </c:pt>
                <c:pt idx="2">
                  <c:v>960000</c:v>
                </c:pt>
                <c:pt idx="3">
                  <c:v>480000</c:v>
                </c:pt>
                <c:pt idx="4">
                  <c:v>960000</c:v>
                </c:pt>
                <c:pt idx="5">
                  <c:v>720000</c:v>
                </c:pt>
              </c:numCache>
            </c:numRef>
          </c:val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Anual!$B$65:$G$65</c:f>
              <c:numCache>
                <c:formatCode>#,##0.00</c:formatCode>
                <c:ptCount val="6"/>
                <c:pt idx="0">
                  <c:v>226313.16048973327</c:v>
                </c:pt>
                <c:pt idx="1">
                  <c:v>204056.39586056335</c:v>
                </c:pt>
                <c:pt idx="2">
                  <c:v>1101392.5019127771</c:v>
                </c:pt>
                <c:pt idx="3">
                  <c:v>482516.33347678097</c:v>
                </c:pt>
                <c:pt idx="4">
                  <c:v>895057.60963026667</c:v>
                </c:pt>
                <c:pt idx="5">
                  <c:v>722834.64566929126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012680"/>
        <c:axId val="564013072"/>
      </c:barChart>
      <c:catAx>
        <c:axId val="56401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3072"/>
        <c:crosses val="autoZero"/>
        <c:auto val="1"/>
        <c:lblAlgn val="ctr"/>
        <c:lblOffset val="100"/>
        <c:noMultiLvlLbl val="0"/>
      </c:catAx>
      <c:valAx>
        <c:axId val="5640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de eficiencia (IE) 2014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Post-secundaria Regular</c:v>
                </c:pt>
                <c:pt idx="3">
                  <c:v>TED</c:v>
                </c:pt>
                <c:pt idx="4">
                  <c:v>PSR     0,43%Ley</c:v>
                </c:pt>
                <c:pt idx="5">
                  <c:v>Niñ@s trabajadores</c:v>
                </c:pt>
              </c:strCache>
            </c:strRef>
          </c:cat>
          <c:val>
            <c:numRef>
              <c:f>Anual!$B$63:$G$63</c:f>
              <c:numCache>
                <c:formatCode>#,##0.00</c:formatCode>
                <c:ptCount val="6"/>
                <c:pt idx="0">
                  <c:v>99.890205485306865</c:v>
                </c:pt>
                <c:pt idx="1">
                  <c:v>99.358263401087683</c:v>
                </c:pt>
                <c:pt idx="2">
                  <c:v>76.444137629209749</c:v>
                </c:pt>
                <c:pt idx="3">
                  <c:v>84.039917611086878</c:v>
                </c:pt>
                <c:pt idx="4">
                  <c:v>65.456859526389792</c:v>
                </c:pt>
                <c:pt idx="5">
                  <c:v>38.409387997623291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4013856"/>
        <c:axId val="564014640"/>
      </c:barChart>
      <c:catAx>
        <c:axId val="5640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4640"/>
        <c:crosses val="autoZero"/>
        <c:auto val="1"/>
        <c:lblAlgn val="ctr"/>
        <c:lblOffset val="100"/>
        <c:noMultiLvlLbl val="0"/>
      </c:catAx>
      <c:valAx>
        <c:axId val="5640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giro de recursos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Anual!$A$68:$A$69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Anual!$B$68:$B$69</c:f>
              <c:numCache>
                <c:formatCode>#,##0.00</c:formatCode>
                <c:ptCount val="2"/>
                <c:pt idx="0">
                  <c:v>98.852963847250621</c:v>
                </c:pt>
                <c:pt idx="1">
                  <c:v>94.970587158938329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4009152"/>
        <c:axId val="461181408"/>
      </c:barChart>
      <c:catAx>
        <c:axId val="5640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1181408"/>
        <c:crosses val="autoZero"/>
        <c:auto val="1"/>
        <c:lblAlgn val="ctr"/>
        <c:lblOffset val="100"/>
        <c:noMultiLvlLbl val="0"/>
      </c:catAx>
      <c:valAx>
        <c:axId val="4611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00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</xdr:colOff>
      <xdr:row>29</xdr:row>
      <xdr:rowOff>178857</xdr:rowOff>
    </xdr:from>
    <xdr:to>
      <xdr:col>14</xdr:col>
      <xdr:colOff>21166</xdr:colOff>
      <xdr:row>44</xdr:row>
      <xdr:rowOff>64557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21167</xdr:colOff>
      <xdr:row>44</xdr:row>
      <xdr:rowOff>189441</xdr:rowOff>
    </xdr:from>
    <xdr:to>
      <xdr:col>14</xdr:col>
      <xdr:colOff>21167</xdr:colOff>
      <xdr:row>59</xdr:row>
      <xdr:rowOff>75141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10583</xdr:colOff>
      <xdr:row>60</xdr:row>
      <xdr:rowOff>20108</xdr:rowOff>
    </xdr:from>
    <xdr:to>
      <xdr:col>14</xdr:col>
      <xdr:colOff>10583</xdr:colOff>
      <xdr:row>74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81</xdr:row>
      <xdr:rowOff>30691</xdr:rowOff>
    </xdr:from>
    <xdr:to>
      <xdr:col>4</xdr:col>
      <xdr:colOff>994834</xdr:colOff>
      <xdr:row>95</xdr:row>
      <xdr:rowOff>106891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74083</xdr:colOff>
      <xdr:row>81</xdr:row>
      <xdr:rowOff>51858</xdr:rowOff>
    </xdr:from>
    <xdr:to>
      <xdr:col>10</xdr:col>
      <xdr:colOff>444500</xdr:colOff>
      <xdr:row>95</xdr:row>
      <xdr:rowOff>128058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42333</xdr:colOff>
      <xdr:row>81</xdr:row>
      <xdr:rowOff>20108</xdr:rowOff>
    </xdr:from>
    <xdr:to>
      <xdr:col>17</xdr:col>
      <xdr:colOff>42333</xdr:colOff>
      <xdr:row>95</xdr:row>
      <xdr:rowOff>96308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31750</xdr:colOff>
      <xdr:row>97</xdr:row>
      <xdr:rowOff>20109</xdr:rowOff>
    </xdr:from>
    <xdr:to>
      <xdr:col>4</xdr:col>
      <xdr:colOff>994834</xdr:colOff>
      <xdr:row>111</xdr:row>
      <xdr:rowOff>96309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58207</xdr:colOff>
      <xdr:row>97</xdr:row>
      <xdr:rowOff>30691</xdr:rowOff>
    </xdr:from>
    <xdr:to>
      <xdr:col>10</xdr:col>
      <xdr:colOff>428624</xdr:colOff>
      <xdr:row>111</xdr:row>
      <xdr:rowOff>106891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@s%20trabajador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88"/>
  <sheetViews>
    <sheetView zoomScale="70" zoomScaleNormal="70" workbookViewId="0">
      <selection activeCell="E26" sqref="E26"/>
    </sheetView>
  </sheetViews>
  <sheetFormatPr baseColWidth="10" defaultColWidth="11.42578125" defaultRowHeight="15" x14ac:dyDescent="0.25"/>
  <cols>
    <col min="1" max="1" width="55.7109375" style="6" bestFit="1" customWidth="1"/>
    <col min="2" max="2" width="16.5703125" style="6" customWidth="1"/>
    <col min="3" max="3" width="22.5703125" style="6" bestFit="1" customWidth="1"/>
    <col min="4" max="4" width="16.42578125" style="6" bestFit="1" customWidth="1"/>
    <col min="5" max="5" width="15.28515625" style="6" customWidth="1"/>
    <col min="6" max="6" width="15.42578125" style="6" customWidth="1"/>
    <col min="7" max="7" width="21.42578125" style="6" customWidth="1"/>
    <col min="8" max="16384" width="11.42578125" style="6"/>
  </cols>
  <sheetData>
    <row r="2" spans="1:8" ht="15.75" x14ac:dyDescent="0.25">
      <c r="A2" s="47" t="s">
        <v>75</v>
      </c>
      <c r="B2" s="47"/>
      <c r="C2" s="47"/>
      <c r="D2" s="47"/>
      <c r="E2" s="47"/>
      <c r="F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27" t="s">
        <v>121</v>
      </c>
      <c r="D5" s="25" t="s">
        <v>32</v>
      </c>
      <c r="E5" s="7" t="s">
        <v>2</v>
      </c>
      <c r="F5" s="24" t="s">
        <v>123</v>
      </c>
      <c r="G5" s="24" t="s">
        <v>40</v>
      </c>
      <c r="H5" s="31"/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65</v>
      </c>
    </row>
    <row r="10" spans="1:8" x14ac:dyDescent="0.25">
      <c r="A10" s="3" t="s">
        <v>41</v>
      </c>
      <c r="B10" s="33" t="s">
        <v>127</v>
      </c>
      <c r="C10" s="33" t="s">
        <v>127</v>
      </c>
      <c r="D10" s="33" t="s">
        <v>127</v>
      </c>
      <c r="E10" s="33" t="s">
        <v>127</v>
      </c>
      <c r="F10" s="33" t="s">
        <v>127</v>
      </c>
      <c r="G10" s="33" t="s">
        <v>127</v>
      </c>
      <c r="H10" s="31"/>
    </row>
    <row r="11" spans="1:8" x14ac:dyDescent="0.25">
      <c r="A11" s="38" t="s">
        <v>77</v>
      </c>
      <c r="B11" s="15">
        <f>SUM(C11:G11)</f>
        <v>87760</v>
      </c>
      <c r="C11" s="15">
        <v>82510</v>
      </c>
      <c r="D11" s="15">
        <v>400</v>
      </c>
      <c r="E11" s="15">
        <v>2528</v>
      </c>
      <c r="F11" s="15">
        <v>2212</v>
      </c>
      <c r="G11" s="15">
        <v>110</v>
      </c>
    </row>
    <row r="12" spans="1:8" x14ac:dyDescent="0.25">
      <c r="A12" s="38" t="s">
        <v>78</v>
      </c>
      <c r="B12" s="33">
        <f>SUM(C12:G12)</f>
        <v>84083.999999999985</v>
      </c>
      <c r="C12" s="33">
        <v>82261.333333333328</v>
      </c>
      <c r="D12" s="33">
        <v>142</v>
      </c>
      <c r="E12" s="33">
        <v>1625.3333333333333</v>
      </c>
      <c r="F12" s="33">
        <v>21</v>
      </c>
      <c r="G12" s="33">
        <v>34.333333333333336</v>
      </c>
      <c r="H12" s="31"/>
    </row>
    <row r="13" spans="1:8" x14ac:dyDescent="0.25">
      <c r="A13" s="38" t="s">
        <v>79</v>
      </c>
      <c r="B13" s="15">
        <f>SUM(C13:G13)</f>
        <v>87760</v>
      </c>
      <c r="C13" s="15">
        <v>82510</v>
      </c>
      <c r="D13" s="15">
        <v>400</v>
      </c>
      <c r="E13" s="15">
        <v>2528</v>
      </c>
      <c r="F13" s="15">
        <v>2212</v>
      </c>
      <c r="G13" s="15">
        <v>110</v>
      </c>
      <c r="H13" s="6" t="s">
        <v>122</v>
      </c>
    </row>
    <row r="14" spans="1:8" x14ac:dyDescent="0.25">
      <c r="C14" s="9"/>
      <c r="D14" s="6" t="s">
        <v>122</v>
      </c>
    </row>
    <row r="15" spans="1:8" x14ac:dyDescent="0.25">
      <c r="A15" s="5" t="s">
        <v>5</v>
      </c>
    </row>
    <row r="16" spans="1:8" x14ac:dyDescent="0.25">
      <c r="A16" s="3" t="s">
        <v>41</v>
      </c>
      <c r="B16" s="33" t="s">
        <v>127</v>
      </c>
      <c r="C16" s="33" t="s">
        <v>127</v>
      </c>
      <c r="D16" s="33" t="s">
        <v>127</v>
      </c>
      <c r="E16" s="33" t="s">
        <v>127</v>
      </c>
      <c r="F16" s="33" t="s">
        <v>127</v>
      </c>
      <c r="G16" s="34" t="s">
        <v>127</v>
      </c>
      <c r="H16" s="31"/>
    </row>
    <row r="17" spans="1:8" x14ac:dyDescent="0.25">
      <c r="A17" s="38" t="s">
        <v>77</v>
      </c>
      <c r="B17" s="2">
        <f>SUM(C17:G17)</f>
        <v>5158050000</v>
      </c>
      <c r="C17" s="17">
        <v>4208010000</v>
      </c>
      <c r="D17" s="17">
        <f>32000000*3</f>
        <v>96000000</v>
      </c>
      <c r="E17" s="17">
        <v>303360000</v>
      </c>
      <c r="F17" s="17">
        <f>176960000*3</f>
        <v>530880000</v>
      </c>
      <c r="G17" s="18">
        <f>6600000*3</f>
        <v>19800000</v>
      </c>
    </row>
    <row r="18" spans="1:8" x14ac:dyDescent="0.25">
      <c r="A18" s="38" t="s">
        <v>78</v>
      </c>
      <c r="B18" s="2">
        <f>SUM(C18:G18)</f>
        <v>4516272000</v>
      </c>
      <c r="C18" s="17">
        <v>4199952000</v>
      </c>
      <c r="D18" s="2">
        <v>95850000</v>
      </c>
      <c r="E18" s="2">
        <v>200400000</v>
      </c>
      <c r="F18" s="2">
        <v>13770000</v>
      </c>
      <c r="G18" s="14">
        <v>6300000</v>
      </c>
    </row>
    <row r="19" spans="1:8" x14ac:dyDescent="0.25">
      <c r="A19" s="38" t="s">
        <v>79</v>
      </c>
      <c r="B19" s="2">
        <f>SUM(C19:G19)</f>
        <v>20632200000</v>
      </c>
      <c r="C19" s="17">
        <v>16832040000</v>
      </c>
      <c r="D19" s="2">
        <v>384000000</v>
      </c>
      <c r="E19" s="2">
        <v>1213440000</v>
      </c>
      <c r="F19" s="2">
        <v>2123520000</v>
      </c>
      <c r="G19" s="2">
        <v>79200000</v>
      </c>
    </row>
    <row r="20" spans="1:8" x14ac:dyDescent="0.25">
      <c r="A20" s="3" t="s">
        <v>80</v>
      </c>
      <c r="B20" s="2">
        <f>SUM(C20:G20)</f>
        <v>4516272000</v>
      </c>
      <c r="C20" s="17">
        <f>C18</f>
        <v>4199952000</v>
      </c>
      <c r="D20" s="17">
        <f t="shared" ref="D20:G20" si="0">D18</f>
        <v>95850000</v>
      </c>
      <c r="E20" s="17">
        <f t="shared" si="0"/>
        <v>200400000</v>
      </c>
      <c r="F20" s="17">
        <f t="shared" si="0"/>
        <v>13770000</v>
      </c>
      <c r="G20" s="17">
        <f t="shared" si="0"/>
        <v>6300000</v>
      </c>
    </row>
    <row r="21" spans="1:8" x14ac:dyDescent="0.25">
      <c r="B21" s="2"/>
      <c r="C21" s="2"/>
      <c r="D21" s="2"/>
    </row>
    <row r="22" spans="1:8" x14ac:dyDescent="0.25">
      <c r="A22" s="5" t="s">
        <v>6</v>
      </c>
      <c r="B22" s="2"/>
      <c r="C22" s="2"/>
      <c r="D22" s="2"/>
    </row>
    <row r="23" spans="1:8" x14ac:dyDescent="0.25">
      <c r="A23" s="3" t="s">
        <v>77</v>
      </c>
      <c r="B23" s="2">
        <f>B17</f>
        <v>5158050000</v>
      </c>
      <c r="C23" s="4"/>
      <c r="D23" s="4"/>
      <c r="E23" s="4"/>
      <c r="F23" s="4"/>
    </row>
    <row r="24" spans="1:8" x14ac:dyDescent="0.25">
      <c r="A24" s="3" t="s">
        <v>78</v>
      </c>
      <c r="B24" s="2">
        <v>6877400000</v>
      </c>
      <c r="C24" s="4"/>
      <c r="D24" s="4"/>
      <c r="E24" s="4"/>
      <c r="F24" s="4"/>
    </row>
    <row r="26" spans="1:8" x14ac:dyDescent="0.25">
      <c r="A26" s="6" t="s">
        <v>7</v>
      </c>
    </row>
    <row r="27" spans="1:8" x14ac:dyDescent="0.25">
      <c r="A27" s="6" t="s">
        <v>42</v>
      </c>
      <c r="B27" s="9">
        <v>1.5987436681</v>
      </c>
      <c r="C27" s="9">
        <v>1.5987436681</v>
      </c>
      <c r="D27" s="9">
        <v>1.5987436681</v>
      </c>
      <c r="E27" s="9">
        <v>1.5987436681</v>
      </c>
      <c r="F27" s="9">
        <v>1.5987436681</v>
      </c>
      <c r="G27" s="9">
        <v>1.5987436681</v>
      </c>
    </row>
    <row r="28" spans="1:8" x14ac:dyDescent="0.25">
      <c r="A28" s="6" t="s">
        <v>81</v>
      </c>
      <c r="B28" s="9">
        <v>1.65</v>
      </c>
      <c r="C28" s="9">
        <v>1.65</v>
      </c>
      <c r="D28" s="9">
        <v>1.65</v>
      </c>
      <c r="E28" s="9">
        <v>1.65</v>
      </c>
      <c r="F28" s="9">
        <v>1.65</v>
      </c>
      <c r="G28" s="9">
        <v>1.65</v>
      </c>
      <c r="H28" s="6" t="s">
        <v>122</v>
      </c>
    </row>
    <row r="29" spans="1:8" x14ac:dyDescent="0.25">
      <c r="A29" s="3" t="s">
        <v>8</v>
      </c>
      <c r="B29" s="17">
        <f>SUM(C29:E29)</f>
        <v>198424</v>
      </c>
      <c r="C29" s="17">
        <v>166758</v>
      </c>
      <c r="D29" s="13">
        <v>25691</v>
      </c>
      <c r="E29" s="13">
        <v>5975</v>
      </c>
      <c r="F29" s="13">
        <v>25691</v>
      </c>
      <c r="G29" s="13">
        <v>0</v>
      </c>
    </row>
    <row r="31" spans="1:8" x14ac:dyDescent="0.25">
      <c r="A31" s="6" t="s">
        <v>9</v>
      </c>
    </row>
    <row r="32" spans="1:8" x14ac:dyDescent="0.25">
      <c r="A32" s="6" t="s">
        <v>43</v>
      </c>
      <c r="B32" s="35" t="e">
        <f t="shared" ref="B32:F32" si="1">B16/B27</f>
        <v>#VALUE!</v>
      </c>
      <c r="C32" s="36" t="e">
        <f t="shared" si="1"/>
        <v>#VALUE!</v>
      </c>
      <c r="D32" s="35" t="e">
        <f t="shared" si="1"/>
        <v>#VALUE!</v>
      </c>
      <c r="E32" s="35" t="e">
        <f t="shared" si="1"/>
        <v>#VALUE!</v>
      </c>
      <c r="F32" s="35" t="e">
        <f t="shared" si="1"/>
        <v>#VALUE!</v>
      </c>
      <c r="G32" s="35" t="e">
        <f t="shared" ref="G32" si="2">G16/G27</f>
        <v>#VALUE!</v>
      </c>
      <c r="H32" s="31"/>
    </row>
    <row r="33" spans="1:7" x14ac:dyDescent="0.25">
      <c r="A33" s="6" t="s">
        <v>82</v>
      </c>
      <c r="B33" s="2">
        <f t="shared" ref="B33:F33" si="3">B18/B28</f>
        <v>2737134545.4545455</v>
      </c>
      <c r="C33" s="17">
        <f t="shared" si="3"/>
        <v>2545425454.5454545</v>
      </c>
      <c r="D33" s="2">
        <f t="shared" si="3"/>
        <v>58090909.090909094</v>
      </c>
      <c r="E33" s="2">
        <f t="shared" si="3"/>
        <v>121454545.45454547</v>
      </c>
      <c r="F33" s="2">
        <f t="shared" si="3"/>
        <v>8345454.5454545459</v>
      </c>
      <c r="G33" s="2">
        <f t="shared" ref="G33" si="4">G18/G28</f>
        <v>3818181.8181818184</v>
      </c>
    </row>
    <row r="34" spans="1:7" x14ac:dyDescent="0.25">
      <c r="A34" s="6" t="s">
        <v>44</v>
      </c>
      <c r="B34" s="2" t="e">
        <f t="shared" ref="B34:F34" si="5">B32/B10</f>
        <v>#VALUE!</v>
      </c>
      <c r="C34" s="17" t="e">
        <f t="shared" si="5"/>
        <v>#VALUE!</v>
      </c>
      <c r="D34" s="2" t="e">
        <f t="shared" si="5"/>
        <v>#VALUE!</v>
      </c>
      <c r="E34" s="2" t="e">
        <f t="shared" si="5"/>
        <v>#VALUE!</v>
      </c>
      <c r="F34" s="2" t="e">
        <f t="shared" si="5"/>
        <v>#VALUE!</v>
      </c>
      <c r="G34" s="2" t="e">
        <f t="shared" ref="G34" si="6">G32/G10</f>
        <v>#VALUE!</v>
      </c>
    </row>
    <row r="35" spans="1:7" x14ac:dyDescent="0.25">
      <c r="A35" s="6" t="s">
        <v>83</v>
      </c>
      <c r="B35" s="2">
        <f t="shared" ref="B35:F35" si="7">B33/B12</f>
        <v>32552.382682252817</v>
      </c>
      <c r="C35" s="17">
        <f t="shared" si="7"/>
        <v>30943.158242172765</v>
      </c>
      <c r="D35" s="2">
        <f t="shared" si="7"/>
        <v>409090.90909090912</v>
      </c>
      <c r="E35" s="2">
        <f t="shared" si="7"/>
        <v>74725.930345290486</v>
      </c>
      <c r="F35" s="2">
        <f t="shared" si="7"/>
        <v>397402.59740259743</v>
      </c>
      <c r="G35" s="2">
        <f t="shared" ref="G35" si="8">G33/G12</f>
        <v>111209.17917034421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8">
        <f>(B11/B29)*100</f>
        <v>44.228520743458454</v>
      </c>
      <c r="C40" s="18">
        <f>(C11/C29)*100</f>
        <v>49.478885570707256</v>
      </c>
      <c r="D40" s="18">
        <f t="shared" ref="D40:F40" si="9">(D11/D29)*100</f>
        <v>1.5569654742906076</v>
      </c>
      <c r="E40" s="18">
        <f t="shared" si="9"/>
        <v>42.309623430962347</v>
      </c>
      <c r="F40" s="18">
        <f t="shared" si="9"/>
        <v>8.6100190728270611</v>
      </c>
      <c r="G40" s="6" t="s">
        <v>39</v>
      </c>
    </row>
    <row r="41" spans="1:7" x14ac:dyDescent="0.25">
      <c r="A41" s="6" t="s">
        <v>13</v>
      </c>
      <c r="B41" s="18">
        <f>(B12/B29)*100</f>
        <v>42.375922267467637</v>
      </c>
      <c r="C41" s="18">
        <f>(C12/C29)*100</f>
        <v>49.32976728752643</v>
      </c>
      <c r="D41" s="18">
        <f t="shared" ref="D41:F41" si="10">(D12/D29)*100</f>
        <v>0.55272274337316574</v>
      </c>
      <c r="E41" s="18">
        <f t="shared" si="10"/>
        <v>27.202231520223151</v>
      </c>
      <c r="F41" s="18">
        <f t="shared" si="10"/>
        <v>8.1740687400256903E-2</v>
      </c>
      <c r="G41" s="6" t="s">
        <v>39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F44" si="11">B12/B11*100</f>
        <v>95.811303555150403</v>
      </c>
      <c r="C44" s="18">
        <f t="shared" si="11"/>
        <v>99.69862238920534</v>
      </c>
      <c r="D44" s="4">
        <f t="shared" si="11"/>
        <v>35.5</v>
      </c>
      <c r="E44" s="4">
        <f t="shared" si="11"/>
        <v>64.293248945147667</v>
      </c>
      <c r="F44" s="4">
        <f t="shared" si="11"/>
        <v>0.949367088607595</v>
      </c>
      <c r="G44" s="4">
        <f t="shared" ref="G44" si="12">G12/G11*100</f>
        <v>31.212121212121215</v>
      </c>
    </row>
    <row r="45" spans="1:7" x14ac:dyDescent="0.25">
      <c r="A45" s="6" t="s">
        <v>16</v>
      </c>
      <c r="B45" s="4">
        <f t="shared" ref="B45:E45" si="13">B18/B17*100</f>
        <v>87.557739843545519</v>
      </c>
      <c r="C45" s="18">
        <f t="shared" si="13"/>
        <v>99.808508059629133</v>
      </c>
      <c r="D45" s="4">
        <f>D18/D17*100</f>
        <v>99.84375</v>
      </c>
      <c r="E45" s="4">
        <f t="shared" si="13"/>
        <v>66.060126582278471</v>
      </c>
      <c r="F45" s="4">
        <f>F18/F17*100</f>
        <v>2.5938065099457503</v>
      </c>
      <c r="G45" s="4">
        <f t="shared" ref="G45" si="14">G18/G17*100</f>
        <v>31.818181818181817</v>
      </c>
    </row>
    <row r="46" spans="1:7" x14ac:dyDescent="0.25">
      <c r="A46" s="6" t="s">
        <v>17</v>
      </c>
      <c r="B46" s="4">
        <f t="shared" ref="B46:F46" si="15">AVERAGE(B44:B45)</f>
        <v>91.684521699347954</v>
      </c>
      <c r="C46" s="18">
        <f t="shared" si="15"/>
        <v>99.75356522441723</v>
      </c>
      <c r="D46" s="4">
        <f t="shared" si="15"/>
        <v>67.671875</v>
      </c>
      <c r="E46" s="4">
        <f t="shared" si="15"/>
        <v>65.176687763713062</v>
      </c>
      <c r="F46" s="4">
        <f t="shared" si="15"/>
        <v>1.7715867992766727</v>
      </c>
      <c r="G46" s="4">
        <f t="shared" ref="G46" si="16">AVERAGE(G44:G45)</f>
        <v>31.515151515151516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>B12/B13*100</f>
        <v>95.811303555150403</v>
      </c>
      <c r="C49" s="18">
        <f t="shared" ref="C49:F49" si="17">C12/C13*100</f>
        <v>99.69862238920534</v>
      </c>
      <c r="D49" s="4">
        <f t="shared" si="17"/>
        <v>35.5</v>
      </c>
      <c r="E49" s="4">
        <f t="shared" si="17"/>
        <v>64.293248945147667</v>
      </c>
      <c r="F49" s="4">
        <f t="shared" si="17"/>
        <v>0.949367088607595</v>
      </c>
      <c r="G49" s="4">
        <f t="shared" ref="G49" si="18">G12/G13*100</f>
        <v>31.212121212121215</v>
      </c>
    </row>
    <row r="50" spans="1:8" x14ac:dyDescent="0.25">
      <c r="A50" s="6" t="s">
        <v>20</v>
      </c>
      <c r="B50" s="4">
        <f t="shared" ref="B50:F50" si="19">B18/B19*100</f>
        <v>21.88943496088638</v>
      </c>
      <c r="C50" s="18">
        <f t="shared" si="19"/>
        <v>24.952127014907283</v>
      </c>
      <c r="D50" s="4">
        <f t="shared" si="19"/>
        <v>24.9609375</v>
      </c>
      <c r="E50" s="4">
        <f t="shared" si="19"/>
        <v>16.515031645569618</v>
      </c>
      <c r="F50" s="4">
        <f t="shared" si="19"/>
        <v>0.64845162748643759</v>
      </c>
      <c r="G50" s="4">
        <f t="shared" ref="G50" si="20">G18/G19*100</f>
        <v>7.9545454545454541</v>
      </c>
    </row>
    <row r="51" spans="1:8" x14ac:dyDescent="0.25">
      <c r="A51" s="6" t="s">
        <v>21</v>
      </c>
      <c r="B51" s="4">
        <f t="shared" ref="B51:F51" si="21">(B49+B50)/2</f>
        <v>58.850369258018389</v>
      </c>
      <c r="C51" s="18">
        <f t="shared" si="21"/>
        <v>62.325374702056308</v>
      </c>
      <c r="D51" s="4">
        <f t="shared" si="21"/>
        <v>30.23046875</v>
      </c>
      <c r="E51" s="4">
        <f t="shared" si="21"/>
        <v>40.404140295358644</v>
      </c>
      <c r="F51" s="4">
        <f t="shared" si="21"/>
        <v>0.79890935804701635</v>
      </c>
      <c r="G51" s="4">
        <f t="shared" ref="G51" si="22">(G49+G50)/2</f>
        <v>19.583333333333336</v>
      </c>
    </row>
    <row r="53" spans="1:8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23">D20/D18*100</f>
        <v>100</v>
      </c>
      <c r="E53" s="18">
        <f t="shared" si="23"/>
        <v>100</v>
      </c>
      <c r="F53" s="18">
        <f t="shared" si="23"/>
        <v>100</v>
      </c>
      <c r="G53" s="18">
        <f t="shared" ref="G53" si="24">G20/G18*100</f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 t="e">
        <f t="shared" ref="B56:F56" si="25">((B12/B10)-1)*100</f>
        <v>#VALUE!</v>
      </c>
      <c r="C56" s="37" t="e">
        <f>((C12/C10)-1)*100</f>
        <v>#VALUE!</v>
      </c>
      <c r="D56" s="32" t="e">
        <f t="shared" si="25"/>
        <v>#VALUE!</v>
      </c>
      <c r="E56" s="32" t="e">
        <f t="shared" si="25"/>
        <v>#VALUE!</v>
      </c>
      <c r="F56" s="32" t="e">
        <f t="shared" si="25"/>
        <v>#VALUE!</v>
      </c>
      <c r="G56" s="32" t="e">
        <f t="shared" ref="G56" si="26">((G12/G10)-1)*100</f>
        <v>#VALUE!</v>
      </c>
      <c r="H56" s="31"/>
    </row>
    <row r="57" spans="1:8" x14ac:dyDescent="0.25">
      <c r="A57" s="6" t="s">
        <v>25</v>
      </c>
      <c r="B57" s="32" t="e">
        <f t="shared" ref="B57:F57" si="27">((B33/B32)-1)*100</f>
        <v>#VALUE!</v>
      </c>
      <c r="C57" s="37" t="e">
        <f t="shared" si="27"/>
        <v>#VALUE!</v>
      </c>
      <c r="D57" s="32" t="e">
        <f t="shared" si="27"/>
        <v>#VALUE!</v>
      </c>
      <c r="E57" s="32" t="e">
        <f t="shared" si="27"/>
        <v>#VALUE!</v>
      </c>
      <c r="F57" s="32" t="e">
        <f t="shared" si="27"/>
        <v>#VALUE!</v>
      </c>
      <c r="G57" s="32" t="e">
        <f t="shared" ref="G57" si="28">((G33/G32)-1)*100</f>
        <v>#VALUE!</v>
      </c>
      <c r="H57" s="31"/>
    </row>
    <row r="58" spans="1:8" x14ac:dyDescent="0.25">
      <c r="A58" s="6" t="s">
        <v>26</v>
      </c>
      <c r="B58" s="32" t="e">
        <f t="shared" ref="B58:F58" si="29">((B35/B34)-1)*100</f>
        <v>#VALUE!</v>
      </c>
      <c r="C58" s="37" t="e">
        <f t="shared" si="29"/>
        <v>#VALUE!</v>
      </c>
      <c r="D58" s="32" t="e">
        <f t="shared" si="29"/>
        <v>#VALUE!</v>
      </c>
      <c r="E58" s="32" t="e">
        <f t="shared" si="29"/>
        <v>#VALUE!</v>
      </c>
      <c r="F58" s="32" t="e">
        <f t="shared" si="29"/>
        <v>#VALUE!</v>
      </c>
      <c r="G58" s="32" t="e">
        <f t="shared" ref="G58" si="30">((G35/G34)-1)*100</f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32">
        <f>B17/(B11*3)</f>
        <v>19591.499544211485</v>
      </c>
      <c r="C61" s="32">
        <f t="shared" ref="C61:G61" si="31">C17/(C11*3)</f>
        <v>17000</v>
      </c>
      <c r="D61" s="32">
        <f t="shared" si="31"/>
        <v>80000</v>
      </c>
      <c r="E61" s="32">
        <f t="shared" si="31"/>
        <v>40000</v>
      </c>
      <c r="F61" s="32">
        <f t="shared" si="31"/>
        <v>80000</v>
      </c>
      <c r="G61" s="32">
        <f t="shared" si="31"/>
        <v>60000</v>
      </c>
      <c r="H61" s="31"/>
    </row>
    <row r="62" spans="1:8" x14ac:dyDescent="0.25">
      <c r="A62" s="6" t="s">
        <v>36</v>
      </c>
      <c r="B62" s="32">
        <f>B18/(B12*3)</f>
        <v>17903.81047523905</v>
      </c>
      <c r="C62" s="32">
        <f t="shared" ref="C62:G62" si="32">C18/(C12*3)</f>
        <v>17018.737033195022</v>
      </c>
      <c r="D62" s="32">
        <f t="shared" si="32"/>
        <v>225000</v>
      </c>
      <c r="E62" s="32">
        <f t="shared" si="32"/>
        <v>41099.261689909763</v>
      </c>
      <c r="F62" s="32">
        <f t="shared" si="32"/>
        <v>218571.42857142858</v>
      </c>
      <c r="G62" s="32">
        <f t="shared" si="32"/>
        <v>61165.048543689321</v>
      </c>
    </row>
    <row r="63" spans="1:8" x14ac:dyDescent="0.25">
      <c r="A63" s="6" t="s">
        <v>28</v>
      </c>
      <c r="B63" s="4">
        <f t="shared" ref="B63:F63" si="33">(B61/B62)*B46</f>
        <v>100.32709336195319</v>
      </c>
      <c r="C63" s="18">
        <f t="shared" si="33"/>
        <v>99.643740044129999</v>
      </c>
      <c r="D63" s="4">
        <f t="shared" si="33"/>
        <v>24.061111111111114</v>
      </c>
      <c r="E63" s="4">
        <f t="shared" si="33"/>
        <v>63.433439029114744</v>
      </c>
      <c r="F63" s="4">
        <f t="shared" si="33"/>
        <v>0.64842392653263836</v>
      </c>
      <c r="G63" s="4">
        <f t="shared" ref="G63" si="34">(G61/G62)*G46</f>
        <v>30.914862914862915</v>
      </c>
    </row>
    <row r="64" spans="1:8" x14ac:dyDescent="0.25">
      <c r="A64" s="6" t="s">
        <v>69</v>
      </c>
      <c r="B64" s="4">
        <f>B17/B11</f>
        <v>58774.498632634459</v>
      </c>
      <c r="C64" s="4">
        <f t="shared" ref="C64:G64" si="35">C17/C11</f>
        <v>51000</v>
      </c>
      <c r="D64" s="4">
        <f>D17/D11</f>
        <v>240000</v>
      </c>
      <c r="E64" s="4">
        <f t="shared" si="35"/>
        <v>120000</v>
      </c>
      <c r="F64" s="4">
        <f>F17/F11</f>
        <v>240000</v>
      </c>
      <c r="G64" s="4">
        <f t="shared" si="35"/>
        <v>180000</v>
      </c>
    </row>
    <row r="65" spans="1:7" x14ac:dyDescent="0.25">
      <c r="A65" s="6" t="s">
        <v>70</v>
      </c>
      <c r="B65" s="4">
        <f>B18/B12</f>
        <v>53711.43142571715</v>
      </c>
      <c r="C65" s="4">
        <f t="shared" ref="C65:G65" si="36">C18/C12</f>
        <v>51056.211099585067</v>
      </c>
      <c r="D65" s="4">
        <f t="shared" si="36"/>
        <v>675000</v>
      </c>
      <c r="E65" s="4">
        <f t="shared" si="36"/>
        <v>123297.78506972929</v>
      </c>
      <c r="F65" s="4">
        <f t="shared" si="36"/>
        <v>655714.28571428568</v>
      </c>
      <c r="G65" s="4">
        <f t="shared" si="36"/>
        <v>183495.14563106795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133.33333333333331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65.668304882659143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124</v>
      </c>
    </row>
    <row r="74" spans="1:7" x14ac:dyDescent="0.25">
      <c r="A74" s="6" t="s">
        <v>76</v>
      </c>
      <c r="B74" s="12"/>
      <c r="C74" s="12"/>
    </row>
    <row r="76" spans="1:7" x14ac:dyDescent="0.25">
      <c r="A76" s="6" t="s">
        <v>130</v>
      </c>
    </row>
    <row r="78" spans="1:7" x14ac:dyDescent="0.25">
      <c r="A78" s="6" t="s">
        <v>37</v>
      </c>
    </row>
    <row r="79" spans="1:7" x14ac:dyDescent="0.25">
      <c r="A79" s="6" t="s">
        <v>66</v>
      </c>
    </row>
    <row r="80" spans="1:7" x14ac:dyDescent="0.25">
      <c r="A80" s="6" t="s">
        <v>128</v>
      </c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</sheetData>
  <mergeCells count="4">
    <mergeCell ref="A4:A5"/>
    <mergeCell ref="B4:B5"/>
    <mergeCell ref="A2:F2"/>
    <mergeCell ref="C4:G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selection activeCell="L23" sqref="L23"/>
    </sheetView>
  </sheetViews>
  <sheetFormatPr baseColWidth="10" defaultColWidth="11.42578125" defaultRowHeight="15" x14ac:dyDescent="0.25"/>
  <cols>
    <col min="1" max="1" width="46.5703125" style="6" customWidth="1"/>
    <col min="2" max="2" width="16.5703125" style="6" customWidth="1"/>
    <col min="3" max="3" width="14.85546875" style="6" customWidth="1"/>
    <col min="4" max="4" width="15" style="6" customWidth="1"/>
    <col min="5" max="5" width="15.28515625" style="6" customWidth="1"/>
    <col min="6" max="6" width="14.140625" style="6" customWidth="1"/>
    <col min="7" max="7" width="15" style="6" bestFit="1" customWidth="1"/>
    <col min="8" max="16384" width="11.42578125" style="6"/>
  </cols>
  <sheetData>
    <row r="2" spans="1:8" ht="15.75" x14ac:dyDescent="0.25">
      <c r="A2" s="47" t="s">
        <v>84</v>
      </c>
      <c r="B2" s="47"/>
      <c r="C2" s="47"/>
      <c r="D2" s="47"/>
      <c r="E2" s="47"/>
      <c r="F2" s="47"/>
      <c r="G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19" t="s">
        <v>121</v>
      </c>
      <c r="D5" s="24" t="s">
        <v>32</v>
      </c>
      <c r="E5" s="21" t="s">
        <v>2</v>
      </c>
      <c r="F5" s="24" t="s">
        <v>123</v>
      </c>
      <c r="G5" s="22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65</v>
      </c>
    </row>
    <row r="10" spans="1:8" x14ac:dyDescent="0.25">
      <c r="A10" s="3" t="s">
        <v>45</v>
      </c>
      <c r="B10" s="33" t="s">
        <v>127</v>
      </c>
      <c r="C10" s="33" t="s">
        <v>127</v>
      </c>
      <c r="D10" s="33" t="s">
        <v>127</v>
      </c>
      <c r="E10" s="33" t="s">
        <v>127</v>
      </c>
      <c r="F10" s="33" t="s">
        <v>127</v>
      </c>
      <c r="G10" s="33" t="s">
        <v>127</v>
      </c>
      <c r="H10" s="31"/>
    </row>
    <row r="11" spans="1:8" x14ac:dyDescent="0.25">
      <c r="A11" s="38" t="s">
        <v>85</v>
      </c>
      <c r="B11" s="15">
        <f>SUM(C11:G11)</f>
        <v>87760</v>
      </c>
      <c r="C11" s="15">
        <v>82510</v>
      </c>
      <c r="D11" s="15">
        <v>400</v>
      </c>
      <c r="E11" s="15">
        <v>2528</v>
      </c>
      <c r="F11" s="15">
        <v>2212</v>
      </c>
      <c r="G11" s="15">
        <v>110</v>
      </c>
    </row>
    <row r="12" spans="1:8" x14ac:dyDescent="0.25">
      <c r="A12" s="38" t="s">
        <v>86</v>
      </c>
      <c r="B12" s="33">
        <f t="shared" ref="B12" si="0">SUM(C12:G12)</f>
        <v>87371.333333333343</v>
      </c>
      <c r="C12" s="33">
        <v>82288</v>
      </c>
      <c r="D12" s="33">
        <v>425.66666666666669</v>
      </c>
      <c r="E12" s="15">
        <v>1974</v>
      </c>
      <c r="F12" s="15">
        <v>2648.6666666666665</v>
      </c>
      <c r="G12" s="15">
        <v>35</v>
      </c>
    </row>
    <row r="13" spans="1:8" x14ac:dyDescent="0.25">
      <c r="A13" s="38" t="s">
        <v>79</v>
      </c>
      <c r="B13" s="15">
        <f>SUM(C13:G13)</f>
        <v>87760</v>
      </c>
      <c r="C13" s="15">
        <v>82510</v>
      </c>
      <c r="D13" s="15">
        <v>400</v>
      </c>
      <c r="E13" s="15">
        <v>2528</v>
      </c>
      <c r="F13" s="15">
        <v>2212</v>
      </c>
      <c r="G13" s="15">
        <v>110</v>
      </c>
    </row>
    <row r="14" spans="1:8" x14ac:dyDescent="0.25">
      <c r="C14" s="9"/>
    </row>
    <row r="15" spans="1:8" x14ac:dyDescent="0.25">
      <c r="A15" s="5" t="s">
        <v>5</v>
      </c>
    </row>
    <row r="16" spans="1:8" x14ac:dyDescent="0.25">
      <c r="A16" s="3" t="s">
        <v>45</v>
      </c>
      <c r="B16" s="33" t="s">
        <v>127</v>
      </c>
      <c r="C16" s="33" t="s">
        <v>127</v>
      </c>
      <c r="D16" s="33" t="s">
        <v>127</v>
      </c>
      <c r="E16" s="33" t="s">
        <v>127</v>
      </c>
      <c r="F16" s="33" t="s">
        <v>127</v>
      </c>
      <c r="G16" s="33" t="s">
        <v>127</v>
      </c>
      <c r="H16" s="31"/>
    </row>
    <row r="17" spans="1:8" x14ac:dyDescent="0.25">
      <c r="A17" s="38" t="s">
        <v>85</v>
      </c>
      <c r="B17" s="2">
        <f>SUM(C17:G17)</f>
        <v>5158050000</v>
      </c>
      <c r="C17" s="17">
        <v>4208010000</v>
      </c>
      <c r="D17" s="17">
        <v>96000000</v>
      </c>
      <c r="E17" s="17">
        <v>303360000</v>
      </c>
      <c r="F17" s="17">
        <v>530880000</v>
      </c>
      <c r="G17" s="17">
        <v>19800000</v>
      </c>
    </row>
    <row r="18" spans="1:8" x14ac:dyDescent="0.25">
      <c r="A18" s="38" t="s">
        <v>86</v>
      </c>
      <c r="B18" s="2">
        <f>SUM(C18:G18)</f>
        <v>5123168000</v>
      </c>
      <c r="C18" s="17">
        <v>4196688000</v>
      </c>
      <c r="D18" s="2">
        <v>95770000</v>
      </c>
      <c r="E18" s="2">
        <v>236880000</v>
      </c>
      <c r="F18" s="2">
        <v>587530000</v>
      </c>
      <c r="G18" s="14">
        <v>6300000</v>
      </c>
    </row>
    <row r="19" spans="1:8" x14ac:dyDescent="0.25">
      <c r="A19" s="38" t="s">
        <v>79</v>
      </c>
      <c r="B19" s="2">
        <f>SUM(C19:G19)</f>
        <v>20632200000</v>
      </c>
      <c r="C19" s="17">
        <v>16832040000</v>
      </c>
      <c r="D19" s="2">
        <v>384000000</v>
      </c>
      <c r="E19" s="2">
        <v>1213440000</v>
      </c>
      <c r="F19" s="2">
        <v>2123520000</v>
      </c>
      <c r="G19" s="2">
        <v>79200000</v>
      </c>
    </row>
    <row r="20" spans="1:8" x14ac:dyDescent="0.25">
      <c r="A20" s="3" t="s">
        <v>87</v>
      </c>
      <c r="B20" s="2">
        <f>SUM(C20:G20)</f>
        <v>5123168000</v>
      </c>
      <c r="C20" s="17">
        <f>C18</f>
        <v>4196688000</v>
      </c>
      <c r="D20" s="17">
        <f t="shared" ref="D20:G20" si="1">D18</f>
        <v>95770000</v>
      </c>
      <c r="E20" s="17">
        <f t="shared" si="1"/>
        <v>236880000</v>
      </c>
      <c r="F20" s="17">
        <f t="shared" si="1"/>
        <v>587530000</v>
      </c>
      <c r="G20" s="17">
        <f t="shared" si="1"/>
        <v>6300000</v>
      </c>
    </row>
    <row r="21" spans="1:8" x14ac:dyDescent="0.25">
      <c r="B21" s="2"/>
      <c r="C21" s="2"/>
      <c r="D21" s="2"/>
    </row>
    <row r="22" spans="1:8" x14ac:dyDescent="0.25">
      <c r="A22" s="5" t="s">
        <v>6</v>
      </c>
      <c r="B22" s="2"/>
      <c r="C22" s="2"/>
      <c r="D22" s="2"/>
    </row>
    <row r="23" spans="1:8" x14ac:dyDescent="0.25">
      <c r="A23" s="3" t="s">
        <v>85</v>
      </c>
      <c r="B23" s="2">
        <f>B17</f>
        <v>5158050000</v>
      </c>
      <c r="C23" s="4"/>
      <c r="D23" s="4"/>
      <c r="E23" s="4"/>
      <c r="F23" s="4"/>
    </row>
    <row r="24" spans="1:8" x14ac:dyDescent="0.25">
      <c r="A24" s="3" t="s">
        <v>86</v>
      </c>
      <c r="B24" s="2">
        <v>6707200000</v>
      </c>
      <c r="C24" s="4"/>
      <c r="D24" s="4"/>
      <c r="E24" s="4"/>
      <c r="F24" s="4"/>
    </row>
    <row r="26" spans="1:8" x14ac:dyDescent="0.25">
      <c r="A26" s="6" t="s">
        <v>7</v>
      </c>
    </row>
    <row r="27" spans="1:8" x14ac:dyDescent="0.25">
      <c r="A27" s="6" t="s">
        <v>46</v>
      </c>
      <c r="B27" s="9">
        <v>1.6173</v>
      </c>
      <c r="C27" s="9">
        <v>1.6173</v>
      </c>
      <c r="D27" s="9">
        <v>1.6173</v>
      </c>
      <c r="E27" s="9">
        <v>1.6173</v>
      </c>
      <c r="F27" s="9">
        <v>1.6173</v>
      </c>
      <c r="G27" s="9">
        <v>1.6173</v>
      </c>
    </row>
    <row r="28" spans="1:8" x14ac:dyDescent="0.25">
      <c r="A28" s="6" t="s">
        <v>88</v>
      </c>
      <c r="B28" s="9">
        <v>1.68</v>
      </c>
      <c r="C28" s="9">
        <v>1.68</v>
      </c>
      <c r="D28" s="9">
        <v>1.68</v>
      </c>
      <c r="E28" s="9">
        <v>1.68</v>
      </c>
      <c r="F28" s="9">
        <v>1.68</v>
      </c>
      <c r="G28" s="9">
        <v>1.68</v>
      </c>
    </row>
    <row r="29" spans="1:8" x14ac:dyDescent="0.25">
      <c r="A29" s="3" t="s">
        <v>8</v>
      </c>
      <c r="B29" s="26">
        <f>SUM(C29:E29)</f>
        <v>198424</v>
      </c>
      <c r="C29" s="17">
        <v>166758</v>
      </c>
      <c r="D29" s="15">
        <v>25691</v>
      </c>
      <c r="E29" s="13">
        <v>5975</v>
      </c>
      <c r="F29" s="13">
        <v>25691</v>
      </c>
      <c r="G29" s="15">
        <v>0</v>
      </c>
    </row>
    <row r="31" spans="1:8" x14ac:dyDescent="0.25">
      <c r="A31" s="6" t="s">
        <v>9</v>
      </c>
      <c r="B31" s="39"/>
      <c r="C31" s="39"/>
      <c r="D31" s="39"/>
      <c r="E31" s="39"/>
      <c r="F31" s="39"/>
      <c r="G31" s="39"/>
    </row>
    <row r="32" spans="1:8" x14ac:dyDescent="0.25">
      <c r="A32" s="6" t="s">
        <v>47</v>
      </c>
      <c r="B32" s="35" t="e">
        <f t="shared" ref="B32:G32" si="2">B16/B27</f>
        <v>#VALUE!</v>
      </c>
      <c r="C32" s="36" t="e">
        <f t="shared" si="2"/>
        <v>#VALUE!</v>
      </c>
      <c r="D32" s="35" t="e">
        <f t="shared" si="2"/>
        <v>#VALUE!</v>
      </c>
      <c r="E32" s="35" t="e">
        <f t="shared" si="2"/>
        <v>#VALUE!</v>
      </c>
      <c r="F32" s="35" t="e">
        <f t="shared" si="2"/>
        <v>#VALUE!</v>
      </c>
      <c r="G32" s="35" t="e">
        <f t="shared" si="2"/>
        <v>#VALUE!</v>
      </c>
      <c r="H32" s="31"/>
    </row>
    <row r="33" spans="1:7" x14ac:dyDescent="0.25">
      <c r="A33" s="6" t="s">
        <v>89</v>
      </c>
      <c r="B33" s="2">
        <f t="shared" ref="B33:G33" si="3">B18/B28</f>
        <v>3049504761.9047618</v>
      </c>
      <c r="C33" s="17">
        <f t="shared" si="3"/>
        <v>2498028571.4285717</v>
      </c>
      <c r="D33" s="2">
        <f t="shared" si="3"/>
        <v>57005952.380952381</v>
      </c>
      <c r="E33" s="2">
        <f t="shared" si="3"/>
        <v>141000000</v>
      </c>
      <c r="F33" s="2">
        <f t="shared" si="3"/>
        <v>349720238.09523809</v>
      </c>
      <c r="G33" s="2">
        <f t="shared" si="3"/>
        <v>3750000</v>
      </c>
    </row>
    <row r="34" spans="1:7" x14ac:dyDescent="0.25">
      <c r="A34" s="6" t="s">
        <v>48</v>
      </c>
      <c r="B34" s="2" t="e">
        <f t="shared" ref="B34:G34" si="4">B32/B10</f>
        <v>#VALUE!</v>
      </c>
      <c r="C34" s="17" t="e">
        <f t="shared" si="4"/>
        <v>#VALUE!</v>
      </c>
      <c r="D34" s="2" t="e">
        <f t="shared" si="4"/>
        <v>#VALUE!</v>
      </c>
      <c r="E34" s="2" t="e">
        <f t="shared" si="4"/>
        <v>#VALUE!</v>
      </c>
      <c r="F34" s="2" t="e">
        <f t="shared" si="4"/>
        <v>#VALUE!</v>
      </c>
      <c r="G34" s="2" t="e">
        <f t="shared" si="4"/>
        <v>#VALUE!</v>
      </c>
    </row>
    <row r="35" spans="1:7" x14ac:dyDescent="0.25">
      <c r="A35" s="6" t="s">
        <v>90</v>
      </c>
      <c r="B35" s="2">
        <f t="shared" ref="B35:G35" si="5">B33/B12</f>
        <v>34902.806739488486</v>
      </c>
      <c r="C35" s="17">
        <f t="shared" si="5"/>
        <v>30357.142857142859</v>
      </c>
      <c r="D35" s="2">
        <f t="shared" si="5"/>
        <v>133921.57959503299</v>
      </c>
      <c r="E35" s="2">
        <f t="shared" si="5"/>
        <v>71428.571428571435</v>
      </c>
      <c r="F35" s="2">
        <f t="shared" si="5"/>
        <v>132036.33454388552</v>
      </c>
      <c r="G35" s="2">
        <f t="shared" si="5"/>
        <v>107142.85714285714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8">
        <f>(B11/B29)*100</f>
        <v>44.228520743458454</v>
      </c>
      <c r="C40" s="18">
        <f>(C11/C29)*100</f>
        <v>49.478885570707256</v>
      </c>
      <c r="D40" s="18">
        <f t="shared" ref="D40:F40" si="6">(D11/D29)*100</f>
        <v>1.5569654742906076</v>
      </c>
      <c r="E40" s="18">
        <f t="shared" si="6"/>
        <v>42.309623430962347</v>
      </c>
      <c r="F40" s="18">
        <f t="shared" si="6"/>
        <v>8.6100190728270611</v>
      </c>
      <c r="G40" s="6" t="s">
        <v>39</v>
      </c>
    </row>
    <row r="41" spans="1:7" x14ac:dyDescent="0.25">
      <c r="A41" s="6" t="s">
        <v>13</v>
      </c>
      <c r="B41" s="18">
        <f>(B12/B29)*100</f>
        <v>44.032643900603425</v>
      </c>
      <c r="C41" s="18">
        <f>(C12/C29)*100</f>
        <v>49.345758524328673</v>
      </c>
      <c r="D41" s="18">
        <f t="shared" ref="D41:F41" si="7">(D12/D29)*100</f>
        <v>1.6568707588909215</v>
      </c>
      <c r="E41" s="18">
        <f t="shared" si="7"/>
        <v>33.037656903765686</v>
      </c>
      <c r="F41" s="18">
        <f t="shared" si="7"/>
        <v>10.309706382260973</v>
      </c>
      <c r="G41" s="6" t="s">
        <v>39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8">B12/B11*100</f>
        <v>99.557125493770897</v>
      </c>
      <c r="C44" s="18">
        <f t="shared" si="8"/>
        <v>99.730941704035871</v>
      </c>
      <c r="D44" s="4">
        <f t="shared" si="8"/>
        <v>106.41666666666667</v>
      </c>
      <c r="E44" s="4">
        <f t="shared" si="8"/>
        <v>78.085443037974684</v>
      </c>
      <c r="F44" s="4">
        <f t="shared" si="8"/>
        <v>119.74080771549124</v>
      </c>
      <c r="G44" s="4">
        <f t="shared" si="8"/>
        <v>31.818181818181817</v>
      </c>
    </row>
    <row r="45" spans="1:7" x14ac:dyDescent="0.25">
      <c r="A45" s="6" t="s">
        <v>16</v>
      </c>
      <c r="B45" s="4">
        <f t="shared" ref="B45:G45" si="9">B18/B17*100</f>
        <v>99.323736683436564</v>
      </c>
      <c r="C45" s="18">
        <f t="shared" si="9"/>
        <v>99.730941704035871</v>
      </c>
      <c r="D45" s="4">
        <f t="shared" si="9"/>
        <v>99.760416666666657</v>
      </c>
      <c r="E45" s="4">
        <f t="shared" si="9"/>
        <v>78.085443037974684</v>
      </c>
      <c r="F45" s="4">
        <f t="shared" si="9"/>
        <v>110.67096142254368</v>
      </c>
      <c r="G45" s="4">
        <f t="shared" si="9"/>
        <v>31.818181818181817</v>
      </c>
    </row>
    <row r="46" spans="1:7" x14ac:dyDescent="0.25">
      <c r="A46" s="6" t="s">
        <v>17</v>
      </c>
      <c r="B46" s="4">
        <f t="shared" ref="B46:G46" si="10">AVERAGE(B44:B45)</f>
        <v>99.440431088603731</v>
      </c>
      <c r="C46" s="18">
        <f t="shared" si="10"/>
        <v>99.730941704035871</v>
      </c>
      <c r="D46" s="4">
        <f t="shared" si="10"/>
        <v>103.08854166666666</v>
      </c>
      <c r="E46" s="4">
        <f t="shared" si="10"/>
        <v>78.085443037974684</v>
      </c>
      <c r="F46" s="4">
        <f t="shared" si="10"/>
        <v>115.20588456901746</v>
      </c>
      <c r="G46" s="4">
        <f t="shared" si="10"/>
        <v>31.818181818181817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1">B12/B13*100</f>
        <v>99.557125493770897</v>
      </c>
      <c r="C49" s="18">
        <f t="shared" si="11"/>
        <v>99.730941704035871</v>
      </c>
      <c r="D49" s="4">
        <f t="shared" si="11"/>
        <v>106.41666666666667</v>
      </c>
      <c r="E49" s="4">
        <f t="shared" si="11"/>
        <v>78.085443037974684</v>
      </c>
      <c r="F49" s="4">
        <f t="shared" si="11"/>
        <v>119.74080771549124</v>
      </c>
      <c r="G49" s="4">
        <f t="shared" si="11"/>
        <v>31.818181818181817</v>
      </c>
    </row>
    <row r="50" spans="1:8" x14ac:dyDescent="0.25">
      <c r="A50" s="6" t="s">
        <v>20</v>
      </c>
      <c r="B50" s="4">
        <f t="shared" ref="B50:G50" si="12">B18/B19*100</f>
        <v>24.830934170859141</v>
      </c>
      <c r="C50" s="18">
        <f t="shared" si="12"/>
        <v>24.932735426008968</v>
      </c>
      <c r="D50" s="4">
        <f t="shared" si="12"/>
        <v>24.940104166666664</v>
      </c>
      <c r="E50" s="4">
        <f t="shared" si="12"/>
        <v>19.521360759493671</v>
      </c>
      <c r="F50" s="4">
        <f t="shared" si="12"/>
        <v>27.667740355635921</v>
      </c>
      <c r="G50" s="4">
        <f t="shared" si="12"/>
        <v>7.9545454545454541</v>
      </c>
    </row>
    <row r="51" spans="1:8" x14ac:dyDescent="0.25">
      <c r="A51" s="6" t="s">
        <v>21</v>
      </c>
      <c r="B51" s="4">
        <f t="shared" ref="B51:G51" si="13">(B49+B50)/2</f>
        <v>62.194029832315017</v>
      </c>
      <c r="C51" s="18">
        <f t="shared" si="13"/>
        <v>62.331838565022423</v>
      </c>
      <c r="D51" s="4">
        <f t="shared" si="13"/>
        <v>65.678385416666671</v>
      </c>
      <c r="E51" s="4">
        <f t="shared" si="13"/>
        <v>48.80340189873418</v>
      </c>
      <c r="F51" s="4">
        <f t="shared" si="13"/>
        <v>73.704274035563586</v>
      </c>
      <c r="G51" s="4">
        <f t="shared" si="13"/>
        <v>19.886363636363637</v>
      </c>
    </row>
    <row r="53" spans="1:8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G53" si="14">D20/D18*100</f>
        <v>100</v>
      </c>
      <c r="E53" s="18">
        <f t="shared" si="14"/>
        <v>100</v>
      </c>
      <c r="F53" s="18">
        <f t="shared" si="14"/>
        <v>100</v>
      </c>
      <c r="G53" s="18">
        <f t="shared" si="14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 t="e">
        <f t="shared" ref="B56:G56" si="15">((B12/B10)-1)*100</f>
        <v>#VALUE!</v>
      </c>
      <c r="C56" s="37" t="e">
        <f t="shared" si="15"/>
        <v>#VALUE!</v>
      </c>
      <c r="D56" s="32" t="e">
        <f t="shared" si="15"/>
        <v>#VALUE!</v>
      </c>
      <c r="E56" s="32" t="e">
        <f t="shared" si="15"/>
        <v>#VALUE!</v>
      </c>
      <c r="F56" s="32" t="e">
        <f t="shared" si="15"/>
        <v>#VALUE!</v>
      </c>
      <c r="G56" s="32" t="e">
        <f t="shared" si="15"/>
        <v>#VALUE!</v>
      </c>
      <c r="H56" s="31"/>
    </row>
    <row r="57" spans="1:8" x14ac:dyDescent="0.25">
      <c r="A57" s="6" t="s">
        <v>25</v>
      </c>
      <c r="B57" s="32" t="e">
        <f t="shared" ref="B57:G57" si="16">((B33/B32)-1)*100</f>
        <v>#VALUE!</v>
      </c>
      <c r="C57" s="37" t="e">
        <f t="shared" si="16"/>
        <v>#VALUE!</v>
      </c>
      <c r="D57" s="32" t="e">
        <f t="shared" si="16"/>
        <v>#VALUE!</v>
      </c>
      <c r="E57" s="32" t="e">
        <f t="shared" si="16"/>
        <v>#VALUE!</v>
      </c>
      <c r="F57" s="32" t="e">
        <f t="shared" si="16"/>
        <v>#VALUE!</v>
      </c>
      <c r="G57" s="32" t="e">
        <f t="shared" si="16"/>
        <v>#VALUE!</v>
      </c>
      <c r="H57" s="31"/>
    </row>
    <row r="58" spans="1:8" x14ac:dyDescent="0.25">
      <c r="A58" s="6" t="s">
        <v>26</v>
      </c>
      <c r="B58" s="32" t="e">
        <f t="shared" ref="B58:G58" si="17">((B35/B34)-1)*100</f>
        <v>#VALUE!</v>
      </c>
      <c r="C58" s="37" t="e">
        <f t="shared" si="17"/>
        <v>#VALUE!</v>
      </c>
      <c r="D58" s="32" t="e">
        <f t="shared" si="17"/>
        <v>#VALUE!</v>
      </c>
      <c r="E58" s="32" t="e">
        <f t="shared" si="17"/>
        <v>#VALUE!</v>
      </c>
      <c r="F58" s="32" t="e">
        <f t="shared" si="17"/>
        <v>#VALUE!</v>
      </c>
      <c r="G58" s="32" t="e">
        <f t="shared" si="17"/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>B17/(B11*3)</f>
        <v>19591.499544211485</v>
      </c>
      <c r="C61" s="18">
        <f t="shared" ref="C61:G61" si="18">C17/(C11*3)</f>
        <v>17000</v>
      </c>
      <c r="D61" s="4">
        <f t="shared" si="18"/>
        <v>80000</v>
      </c>
      <c r="E61" s="4">
        <f t="shared" si="18"/>
        <v>40000</v>
      </c>
      <c r="F61" s="4">
        <f t="shared" si="18"/>
        <v>80000</v>
      </c>
      <c r="G61" s="4">
        <f t="shared" si="18"/>
        <v>60000</v>
      </c>
    </row>
    <row r="62" spans="1:8" x14ac:dyDescent="0.25">
      <c r="A62" s="6" t="s">
        <v>36</v>
      </c>
      <c r="B62" s="4">
        <f>B18/(B12*3)</f>
        <v>19545.571774113552</v>
      </c>
      <c r="C62" s="18">
        <f t="shared" ref="C62:G62" si="19">C18/(C12*3)</f>
        <v>17000</v>
      </c>
      <c r="D62" s="4">
        <f t="shared" si="19"/>
        <v>74996.084573218483</v>
      </c>
      <c r="E62" s="4">
        <f t="shared" si="19"/>
        <v>40000</v>
      </c>
      <c r="F62" s="4">
        <f t="shared" si="19"/>
        <v>73940.347344575886</v>
      </c>
      <c r="G62" s="4">
        <f t="shared" si="19"/>
        <v>60000</v>
      </c>
    </row>
    <row r="63" spans="1:8" x14ac:dyDescent="0.25">
      <c r="A63" s="6" t="s">
        <v>28</v>
      </c>
      <c r="B63" s="4">
        <f t="shared" ref="B63:G63" si="20">(B61/B62)*B46</f>
        <v>99.674094104976845</v>
      </c>
      <c r="C63" s="18">
        <f t="shared" si="20"/>
        <v>99.730941704035871</v>
      </c>
      <c r="D63" s="4">
        <f t="shared" si="20"/>
        <v>109.96685200654345</v>
      </c>
      <c r="E63" s="4">
        <f t="shared" si="20"/>
        <v>78.085443037974684</v>
      </c>
      <c r="F63" s="4">
        <f t="shared" si="20"/>
        <v>124.64738260656141</v>
      </c>
      <c r="G63" s="4">
        <f t="shared" si="20"/>
        <v>31.818181818181817</v>
      </c>
    </row>
    <row r="64" spans="1:8" x14ac:dyDescent="0.25">
      <c r="A64" s="6" t="s">
        <v>69</v>
      </c>
      <c r="B64" s="4">
        <f>B17/B11</f>
        <v>58774.498632634459</v>
      </c>
      <c r="C64" s="4">
        <f t="shared" ref="C64:G64" si="21">C17/C11</f>
        <v>51000</v>
      </c>
      <c r="D64" s="4">
        <f t="shared" si="21"/>
        <v>240000</v>
      </c>
      <c r="E64" s="4">
        <f t="shared" si="21"/>
        <v>120000</v>
      </c>
      <c r="F64" s="4">
        <f t="shared" si="21"/>
        <v>240000</v>
      </c>
      <c r="G64" s="4">
        <f t="shared" si="21"/>
        <v>180000</v>
      </c>
    </row>
    <row r="65" spans="1:7" x14ac:dyDescent="0.25">
      <c r="A65" s="6" t="s">
        <v>70</v>
      </c>
      <c r="B65" s="4">
        <f>B18/B12</f>
        <v>58636.715322340657</v>
      </c>
      <c r="C65" s="4">
        <f t="shared" ref="C65:G65" si="22">C18/C12</f>
        <v>51000</v>
      </c>
      <c r="D65" s="4">
        <f t="shared" si="22"/>
        <v>224988.25371965542</v>
      </c>
      <c r="E65" s="4">
        <f t="shared" si="22"/>
        <v>120000</v>
      </c>
      <c r="F65" s="4">
        <f t="shared" si="22"/>
        <v>221821.04203372769</v>
      </c>
      <c r="G65" s="4">
        <f t="shared" si="22"/>
        <v>180000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130.03363674256744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76.383110687022906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125</v>
      </c>
    </row>
    <row r="74" spans="1:7" x14ac:dyDescent="0.25">
      <c r="A74" s="6" t="s">
        <v>76</v>
      </c>
      <c r="B74" s="12"/>
      <c r="C74" s="12"/>
    </row>
    <row r="78" spans="1:7" x14ac:dyDescent="0.25">
      <c r="A78" s="6" t="s">
        <v>37</v>
      </c>
    </row>
    <row r="79" spans="1:7" x14ac:dyDescent="0.25">
      <c r="A79" s="6" t="s">
        <v>66</v>
      </c>
    </row>
    <row r="80" spans="1:7" x14ac:dyDescent="0.25">
      <c r="A80" s="6" t="s">
        <v>128</v>
      </c>
    </row>
    <row r="83" spans="1:1" x14ac:dyDescent="0.25">
      <c r="A83" s="6" t="s">
        <v>130</v>
      </c>
    </row>
  </sheetData>
  <mergeCells count="4">
    <mergeCell ref="A4:A5"/>
    <mergeCell ref="B4:B5"/>
    <mergeCell ref="A2:G2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zoomScale="90" zoomScaleNormal="90" workbookViewId="0">
      <selection activeCell="F11" sqref="F11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7" width="16.28515625" style="6" bestFit="1" customWidth="1"/>
    <col min="8" max="16384" width="11.42578125" style="6"/>
  </cols>
  <sheetData>
    <row r="2" spans="1:8" ht="15.75" x14ac:dyDescent="0.25">
      <c r="A2" s="47" t="s">
        <v>92</v>
      </c>
      <c r="B2" s="47"/>
      <c r="C2" s="47"/>
      <c r="D2" s="47"/>
      <c r="E2" s="47"/>
      <c r="F2" s="47"/>
      <c r="G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19" t="s">
        <v>121</v>
      </c>
      <c r="D5" s="28" t="s">
        <v>32</v>
      </c>
      <c r="E5" s="21" t="s">
        <v>2</v>
      </c>
      <c r="F5" s="29" t="s">
        <v>123</v>
      </c>
      <c r="G5" s="22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</row>
    <row r="10" spans="1:8" x14ac:dyDescent="0.25">
      <c r="A10" s="3" t="s">
        <v>49</v>
      </c>
      <c r="B10" s="33" t="s">
        <v>127</v>
      </c>
      <c r="C10" s="33" t="s">
        <v>127</v>
      </c>
      <c r="D10" s="33" t="s">
        <v>127</v>
      </c>
      <c r="E10" s="33" t="s">
        <v>127</v>
      </c>
      <c r="F10" s="33" t="s">
        <v>127</v>
      </c>
      <c r="G10" s="33" t="s">
        <v>127</v>
      </c>
      <c r="H10" s="31"/>
    </row>
    <row r="11" spans="1:8" x14ac:dyDescent="0.25">
      <c r="A11" s="38" t="s">
        <v>93</v>
      </c>
      <c r="B11" s="15">
        <f>SUM(C11:G11)</f>
        <v>87810</v>
      </c>
      <c r="C11" s="15">
        <v>82510</v>
      </c>
      <c r="D11" s="15">
        <v>400</v>
      </c>
      <c r="E11" s="15">
        <v>2528</v>
      </c>
      <c r="F11" s="15">
        <v>2262</v>
      </c>
      <c r="G11" s="15">
        <v>110</v>
      </c>
    </row>
    <row r="12" spans="1:8" x14ac:dyDescent="0.25">
      <c r="A12" s="38" t="s">
        <v>94</v>
      </c>
      <c r="B12" s="33">
        <f>SUM(C12:G12)</f>
        <v>86590.000000000015</v>
      </c>
      <c r="C12" s="33">
        <v>82257</v>
      </c>
      <c r="D12" s="33">
        <v>407.66666666666669</v>
      </c>
      <c r="E12" s="15">
        <v>2400.6666666666665</v>
      </c>
      <c r="F12" s="15">
        <v>1480</v>
      </c>
      <c r="G12" s="15">
        <v>44.666666666666664</v>
      </c>
    </row>
    <row r="13" spans="1:8" x14ac:dyDescent="0.25">
      <c r="A13" s="38" t="s">
        <v>79</v>
      </c>
      <c r="B13" s="15">
        <f>SUM(C13:G13)</f>
        <v>87810</v>
      </c>
      <c r="C13" s="15">
        <v>82510</v>
      </c>
      <c r="D13" s="15">
        <v>400</v>
      </c>
      <c r="E13" s="15">
        <v>2528</v>
      </c>
      <c r="F13" s="15">
        <v>2262</v>
      </c>
      <c r="G13" s="15">
        <v>110</v>
      </c>
    </row>
    <row r="14" spans="1:8" x14ac:dyDescent="0.25">
      <c r="A14" s="39"/>
      <c r="C14" s="9"/>
    </row>
    <row r="15" spans="1:8" x14ac:dyDescent="0.25">
      <c r="A15" s="40" t="s">
        <v>5</v>
      </c>
    </row>
    <row r="16" spans="1:8" x14ac:dyDescent="0.25">
      <c r="A16" s="38" t="s">
        <v>49</v>
      </c>
      <c r="B16" s="33" t="s">
        <v>127</v>
      </c>
      <c r="C16" s="33" t="s">
        <v>127</v>
      </c>
      <c r="D16" s="33" t="s">
        <v>127</v>
      </c>
      <c r="E16" s="33" t="s">
        <v>127</v>
      </c>
      <c r="F16" s="33" t="s">
        <v>127</v>
      </c>
      <c r="G16" s="33" t="s">
        <v>127</v>
      </c>
      <c r="H16" s="31"/>
    </row>
    <row r="17" spans="1:8" x14ac:dyDescent="0.25">
      <c r="A17" s="38" t="s">
        <v>93</v>
      </c>
      <c r="B17" s="2">
        <f>SUM(C17:G17)</f>
        <v>5169970000</v>
      </c>
      <c r="C17" s="17">
        <v>4208010000</v>
      </c>
      <c r="D17" s="17">
        <v>96000000</v>
      </c>
      <c r="E17" s="17">
        <v>303360000</v>
      </c>
      <c r="F17" s="17">
        <v>542800000</v>
      </c>
      <c r="G17" s="17">
        <v>19800000</v>
      </c>
    </row>
    <row r="18" spans="1:8" x14ac:dyDescent="0.25">
      <c r="A18" s="38" t="s">
        <v>94</v>
      </c>
      <c r="B18" s="2">
        <f>SUM(C18:G18)</f>
        <v>4911477000</v>
      </c>
      <c r="C18" s="17">
        <v>4195107000</v>
      </c>
      <c r="D18" s="2">
        <v>92110000</v>
      </c>
      <c r="E18" s="2">
        <v>288080000</v>
      </c>
      <c r="F18" s="2">
        <v>328140000</v>
      </c>
      <c r="G18" s="14">
        <v>8040000</v>
      </c>
    </row>
    <row r="19" spans="1:8" x14ac:dyDescent="0.25">
      <c r="A19" s="38" t="s">
        <v>79</v>
      </c>
      <c r="B19" s="2">
        <f>SUM(C19:G19)</f>
        <v>20679880000</v>
      </c>
      <c r="C19" s="17">
        <v>16832040000</v>
      </c>
      <c r="D19" s="2">
        <v>384000000</v>
      </c>
      <c r="E19" s="2">
        <v>1213440000</v>
      </c>
      <c r="F19" s="2">
        <v>2171200000</v>
      </c>
      <c r="G19" s="2">
        <v>79200000</v>
      </c>
    </row>
    <row r="20" spans="1:8" x14ac:dyDescent="0.25">
      <c r="A20" s="3" t="s">
        <v>95</v>
      </c>
      <c r="B20" s="2">
        <f>SUM(C20:G20)</f>
        <v>4911477000</v>
      </c>
      <c r="C20" s="17">
        <f>C18</f>
        <v>4195107000</v>
      </c>
      <c r="D20" s="17">
        <f t="shared" ref="D20:G20" si="0">D18</f>
        <v>92110000</v>
      </c>
      <c r="E20" s="17">
        <f t="shared" si="0"/>
        <v>288080000</v>
      </c>
      <c r="F20" s="17">
        <f t="shared" si="0"/>
        <v>328140000</v>
      </c>
      <c r="G20" s="17">
        <f t="shared" si="0"/>
        <v>8040000</v>
      </c>
    </row>
    <row r="21" spans="1:8" x14ac:dyDescent="0.25">
      <c r="B21" s="2"/>
      <c r="C21" s="2"/>
      <c r="D21" s="2"/>
    </row>
    <row r="22" spans="1:8" x14ac:dyDescent="0.25">
      <c r="A22" s="5" t="s">
        <v>6</v>
      </c>
      <c r="B22" s="2"/>
      <c r="C22" s="2"/>
      <c r="D22" s="2"/>
    </row>
    <row r="23" spans="1:8" x14ac:dyDescent="0.25">
      <c r="A23" s="3" t="s">
        <v>93</v>
      </c>
      <c r="B23" s="2">
        <f>B17</f>
        <v>5169970000</v>
      </c>
      <c r="C23" s="4"/>
      <c r="D23" s="4"/>
      <c r="E23" s="4"/>
      <c r="F23" s="4"/>
    </row>
    <row r="24" spans="1:8" x14ac:dyDescent="0.25">
      <c r="A24" s="3" t="s">
        <v>94</v>
      </c>
      <c r="B24" s="2">
        <v>3039312000</v>
      </c>
      <c r="C24" s="4"/>
      <c r="D24" s="4"/>
      <c r="E24" s="4"/>
      <c r="F24" s="4"/>
    </row>
    <row r="26" spans="1:8" x14ac:dyDescent="0.25">
      <c r="A26" s="6" t="s">
        <v>7</v>
      </c>
    </row>
    <row r="27" spans="1:8" x14ac:dyDescent="0.25">
      <c r="A27" s="6" t="s">
        <v>50</v>
      </c>
      <c r="B27" s="9">
        <v>1.6242666666666665</v>
      </c>
      <c r="C27" s="9">
        <v>1.6242666666666665</v>
      </c>
      <c r="D27" s="9">
        <v>1.6242666666666665</v>
      </c>
      <c r="E27" s="9">
        <v>1.6242666666666665</v>
      </c>
      <c r="F27" s="9">
        <v>1.6242666666666665</v>
      </c>
      <c r="G27" s="9">
        <v>1.6242666666666665</v>
      </c>
    </row>
    <row r="28" spans="1:8" x14ac:dyDescent="0.25">
      <c r="A28" s="6" t="s">
        <v>96</v>
      </c>
      <c r="B28" s="9">
        <v>1.71</v>
      </c>
      <c r="C28" s="9">
        <v>1.71</v>
      </c>
      <c r="D28" s="9">
        <v>1.71</v>
      </c>
      <c r="E28" s="9">
        <v>1.71</v>
      </c>
      <c r="F28" s="9">
        <v>1.71</v>
      </c>
      <c r="G28" s="9">
        <v>1.71</v>
      </c>
    </row>
    <row r="29" spans="1:8" x14ac:dyDescent="0.25">
      <c r="A29" s="3" t="s">
        <v>8</v>
      </c>
      <c r="B29" s="17">
        <f>SUM(C29:E29)</f>
        <v>198424</v>
      </c>
      <c r="C29" s="17">
        <v>166758</v>
      </c>
      <c r="D29" s="17">
        <v>25691</v>
      </c>
      <c r="E29" s="17">
        <v>5975</v>
      </c>
      <c r="F29" s="17">
        <v>25691</v>
      </c>
      <c r="G29" s="17">
        <v>0</v>
      </c>
    </row>
    <row r="31" spans="1:8" x14ac:dyDescent="0.25">
      <c r="A31" s="6" t="s">
        <v>9</v>
      </c>
    </row>
    <row r="32" spans="1:8" x14ac:dyDescent="0.25">
      <c r="A32" s="6" t="s">
        <v>51</v>
      </c>
      <c r="B32" s="35" t="e">
        <f t="shared" ref="B32:G32" si="1">B16/B27</f>
        <v>#VALUE!</v>
      </c>
      <c r="C32" s="36" t="e">
        <f t="shared" si="1"/>
        <v>#VALUE!</v>
      </c>
      <c r="D32" s="35" t="e">
        <f t="shared" si="1"/>
        <v>#VALUE!</v>
      </c>
      <c r="E32" s="35" t="e">
        <f t="shared" si="1"/>
        <v>#VALUE!</v>
      </c>
      <c r="F32" s="35" t="e">
        <f t="shared" si="1"/>
        <v>#VALUE!</v>
      </c>
      <c r="G32" s="35" t="e">
        <f t="shared" si="1"/>
        <v>#VALUE!</v>
      </c>
      <c r="H32" s="31"/>
    </row>
    <row r="33" spans="1:7" x14ac:dyDescent="0.25">
      <c r="A33" s="6" t="s">
        <v>97</v>
      </c>
      <c r="B33" s="2">
        <f t="shared" ref="B33:G33" si="2">B18/B28</f>
        <v>2872208771.9298248</v>
      </c>
      <c r="C33" s="17">
        <f t="shared" si="2"/>
        <v>2453278947.3684211</v>
      </c>
      <c r="D33" s="2">
        <f t="shared" si="2"/>
        <v>53865497.076023392</v>
      </c>
      <c r="E33" s="2">
        <f t="shared" si="2"/>
        <v>168467836.25730994</v>
      </c>
      <c r="F33" s="2">
        <f t="shared" si="2"/>
        <v>191894736.84210527</v>
      </c>
      <c r="G33" s="2">
        <f t="shared" si="2"/>
        <v>4701754.3859649124</v>
      </c>
    </row>
    <row r="34" spans="1:7" x14ac:dyDescent="0.25">
      <c r="A34" s="6" t="s">
        <v>52</v>
      </c>
      <c r="B34" s="2" t="e">
        <f t="shared" ref="B34:G34" si="3">B32/B10</f>
        <v>#VALUE!</v>
      </c>
      <c r="C34" s="17" t="e">
        <f t="shared" si="3"/>
        <v>#VALUE!</v>
      </c>
      <c r="D34" s="2" t="e">
        <f t="shared" si="3"/>
        <v>#VALUE!</v>
      </c>
      <c r="E34" s="2" t="e">
        <f t="shared" si="3"/>
        <v>#VALUE!</v>
      </c>
      <c r="F34" s="2" t="e">
        <f t="shared" si="3"/>
        <v>#VALUE!</v>
      </c>
      <c r="G34" s="2" t="e">
        <f t="shared" si="3"/>
        <v>#VALUE!</v>
      </c>
    </row>
    <row r="35" spans="1:7" x14ac:dyDescent="0.25">
      <c r="A35" s="6" t="s">
        <v>98</v>
      </c>
      <c r="B35" s="2">
        <f t="shared" ref="B35:G35" si="4">B33/B12</f>
        <v>33170.213326363606</v>
      </c>
      <c r="C35" s="17">
        <f t="shared" si="4"/>
        <v>29824.561403508771</v>
      </c>
      <c r="D35" s="2">
        <f t="shared" si="4"/>
        <v>132131.22749637789</v>
      </c>
      <c r="E35" s="2">
        <f t="shared" si="4"/>
        <v>70175.438596491236</v>
      </c>
      <c r="F35" s="2">
        <f t="shared" si="4"/>
        <v>129658.60597439545</v>
      </c>
      <c r="G35" s="2">
        <f t="shared" si="4"/>
        <v>105263.15789473685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8">
        <f>(B11/B29)*100</f>
        <v>44.253719308148206</v>
      </c>
      <c r="C40" s="18">
        <f>(C11/C29)*100</f>
        <v>49.478885570707256</v>
      </c>
      <c r="D40" s="18">
        <f t="shared" ref="D40:F40" si="5">(D11/D29)*100</f>
        <v>1.5569654742906076</v>
      </c>
      <c r="E40" s="18">
        <f t="shared" si="5"/>
        <v>42.309623430962347</v>
      </c>
      <c r="F40" s="18">
        <f t="shared" si="5"/>
        <v>8.8046397571133852</v>
      </c>
      <c r="G40" s="15" t="s">
        <v>33</v>
      </c>
    </row>
    <row r="41" spans="1:7" x14ac:dyDescent="0.25">
      <c r="A41" s="6" t="s">
        <v>13</v>
      </c>
      <c r="B41" s="18">
        <f>(B12/B29)*100</f>
        <v>43.638874329718185</v>
      </c>
      <c r="C41" s="18">
        <f>(C12/C29)*100</f>
        <v>49.327168711546072</v>
      </c>
      <c r="D41" s="18">
        <f t="shared" ref="D41:F41" si="6">(D12/D29)*100</f>
        <v>1.5868073125478444</v>
      </c>
      <c r="E41" s="18">
        <f t="shared" si="6"/>
        <v>40.178521617852155</v>
      </c>
      <c r="F41" s="18">
        <f t="shared" si="6"/>
        <v>5.7607722548752482</v>
      </c>
      <c r="G41" s="15" t="s">
        <v>33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7">B12/B11*100</f>
        <v>98.610636601753797</v>
      </c>
      <c r="C44" s="18">
        <f t="shared" si="7"/>
        <v>99.693370500545385</v>
      </c>
      <c r="D44" s="4">
        <f t="shared" si="7"/>
        <v>101.91666666666667</v>
      </c>
      <c r="E44" s="4">
        <f t="shared" si="7"/>
        <v>94.963080168776372</v>
      </c>
      <c r="F44" s="4">
        <f t="shared" si="7"/>
        <v>65.428824049513707</v>
      </c>
      <c r="G44" s="4">
        <f t="shared" si="7"/>
        <v>40.606060606060609</v>
      </c>
    </row>
    <row r="45" spans="1:7" x14ac:dyDescent="0.25">
      <c r="A45" s="6" t="s">
        <v>16</v>
      </c>
      <c r="B45" s="4">
        <f t="shared" ref="B45:G45" si="8">B18/B17*100</f>
        <v>95.000106383596034</v>
      </c>
      <c r="C45" s="18">
        <f t="shared" si="8"/>
        <v>99.693370500545385</v>
      </c>
      <c r="D45" s="4">
        <f t="shared" si="8"/>
        <v>95.947916666666671</v>
      </c>
      <c r="E45" s="4">
        <f t="shared" si="8"/>
        <v>94.963080168776372</v>
      </c>
      <c r="F45" s="4">
        <f t="shared" si="8"/>
        <v>60.453205600589534</v>
      </c>
      <c r="G45" s="4">
        <f t="shared" si="8"/>
        <v>40.606060606060609</v>
      </c>
    </row>
    <row r="46" spans="1:7" x14ac:dyDescent="0.25">
      <c r="A46" s="6" t="s">
        <v>17</v>
      </c>
      <c r="B46" s="4">
        <f t="shared" ref="B46:G46" si="9">AVERAGE(B44:B45)</f>
        <v>96.805371492674908</v>
      </c>
      <c r="C46" s="18">
        <f t="shared" si="9"/>
        <v>99.693370500545385</v>
      </c>
      <c r="D46" s="4">
        <f t="shared" si="9"/>
        <v>98.932291666666671</v>
      </c>
      <c r="E46" s="4">
        <f t="shared" si="9"/>
        <v>94.963080168776372</v>
      </c>
      <c r="F46" s="4">
        <f t="shared" si="9"/>
        <v>62.941014825051624</v>
      </c>
      <c r="G46" s="4">
        <f t="shared" si="9"/>
        <v>40.606060606060609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0">B12/B13*100</f>
        <v>98.610636601753797</v>
      </c>
      <c r="C49" s="18">
        <f t="shared" si="10"/>
        <v>99.693370500545385</v>
      </c>
      <c r="D49" s="4">
        <f t="shared" si="10"/>
        <v>101.91666666666667</v>
      </c>
      <c r="E49" s="4">
        <f t="shared" si="10"/>
        <v>94.963080168776372</v>
      </c>
      <c r="F49" s="4">
        <f t="shared" si="10"/>
        <v>65.428824049513707</v>
      </c>
      <c r="G49" s="4">
        <f t="shared" si="10"/>
        <v>40.606060606060609</v>
      </c>
    </row>
    <row r="50" spans="1:8" x14ac:dyDescent="0.25">
      <c r="A50" s="6" t="s">
        <v>20</v>
      </c>
      <c r="B50" s="4">
        <f t="shared" ref="B50:G50" si="11">B18/B19*100</f>
        <v>23.750026595899008</v>
      </c>
      <c r="C50" s="18">
        <f t="shared" si="11"/>
        <v>24.923342625136346</v>
      </c>
      <c r="D50" s="4">
        <f t="shared" si="11"/>
        <v>23.986979166666668</v>
      </c>
      <c r="E50" s="4">
        <f t="shared" si="11"/>
        <v>23.740770042194093</v>
      </c>
      <c r="F50" s="4">
        <f t="shared" si="11"/>
        <v>15.113301400147384</v>
      </c>
      <c r="G50" s="4">
        <f t="shared" si="11"/>
        <v>10.151515151515152</v>
      </c>
    </row>
    <row r="51" spans="1:8" x14ac:dyDescent="0.25">
      <c r="A51" s="6" t="s">
        <v>21</v>
      </c>
      <c r="B51" s="4">
        <f t="shared" ref="B51:G51" si="12">(B49+B50)/2</f>
        <v>61.180331598826399</v>
      </c>
      <c r="C51" s="18">
        <f t="shared" si="12"/>
        <v>62.308356562840864</v>
      </c>
      <c r="D51" s="4">
        <f t="shared" si="12"/>
        <v>62.951822916666671</v>
      </c>
      <c r="E51" s="4">
        <f t="shared" si="12"/>
        <v>59.351925105485236</v>
      </c>
      <c r="F51" s="4">
        <f t="shared" si="12"/>
        <v>40.271062724830543</v>
      </c>
      <c r="G51" s="4">
        <f t="shared" si="12"/>
        <v>25.378787878787882</v>
      </c>
    </row>
    <row r="53" spans="1:8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G53" si="13">D20/D18*100</f>
        <v>100</v>
      </c>
      <c r="E53" s="18">
        <f t="shared" si="13"/>
        <v>100</v>
      </c>
      <c r="F53" s="18">
        <f t="shared" si="13"/>
        <v>100</v>
      </c>
      <c r="G53" s="18">
        <f t="shared" si="13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 t="e">
        <f t="shared" ref="B56:G56" si="14">((B12/B10)-1)*100</f>
        <v>#VALUE!</v>
      </c>
      <c r="C56" s="37" t="e">
        <f t="shared" si="14"/>
        <v>#VALUE!</v>
      </c>
      <c r="D56" s="32" t="e">
        <f t="shared" si="14"/>
        <v>#VALUE!</v>
      </c>
      <c r="E56" s="32" t="e">
        <f t="shared" si="14"/>
        <v>#VALUE!</v>
      </c>
      <c r="F56" s="32" t="e">
        <f t="shared" si="14"/>
        <v>#VALUE!</v>
      </c>
      <c r="G56" s="32" t="e">
        <f t="shared" si="14"/>
        <v>#VALUE!</v>
      </c>
      <c r="H56" s="31"/>
    </row>
    <row r="57" spans="1:8" x14ac:dyDescent="0.25">
      <c r="A57" s="6" t="s">
        <v>25</v>
      </c>
      <c r="B57" s="32" t="e">
        <f t="shared" ref="B57:G57" si="15">((B33/B32)-1)*100</f>
        <v>#VALUE!</v>
      </c>
      <c r="C57" s="37" t="e">
        <f t="shared" si="15"/>
        <v>#VALUE!</v>
      </c>
      <c r="D57" s="32" t="e">
        <f t="shared" si="15"/>
        <v>#VALUE!</v>
      </c>
      <c r="E57" s="32" t="e">
        <f t="shared" si="15"/>
        <v>#VALUE!</v>
      </c>
      <c r="F57" s="32" t="e">
        <f t="shared" si="15"/>
        <v>#VALUE!</v>
      </c>
      <c r="G57" s="32" t="e">
        <f t="shared" si="15"/>
        <v>#VALUE!</v>
      </c>
      <c r="H57" s="31"/>
    </row>
    <row r="58" spans="1:8" x14ac:dyDescent="0.25">
      <c r="A58" s="6" t="s">
        <v>26</v>
      </c>
      <c r="B58" s="32" t="e">
        <f t="shared" ref="B58:G58" si="16">((B35/B34)-1)*100</f>
        <v>#VALUE!</v>
      </c>
      <c r="C58" s="37" t="e">
        <f t="shared" si="16"/>
        <v>#VALUE!</v>
      </c>
      <c r="D58" s="32" t="e">
        <f t="shared" si="16"/>
        <v>#VALUE!</v>
      </c>
      <c r="E58" s="32" t="e">
        <f t="shared" si="16"/>
        <v>#VALUE!</v>
      </c>
      <c r="F58" s="32" t="e">
        <f t="shared" si="16"/>
        <v>#VALUE!</v>
      </c>
      <c r="G58" s="32" t="e">
        <f t="shared" si="16"/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 t="shared" ref="B61:G61" si="17">B17/(B11*3)</f>
        <v>19625.593136696654</v>
      </c>
      <c r="C61" s="18">
        <f t="shared" si="17"/>
        <v>17000</v>
      </c>
      <c r="D61" s="4">
        <f t="shared" si="17"/>
        <v>80000</v>
      </c>
      <c r="E61" s="4">
        <f t="shared" si="17"/>
        <v>40000</v>
      </c>
      <c r="F61" s="4">
        <f t="shared" si="17"/>
        <v>79988.21102269378</v>
      </c>
      <c r="G61" s="4">
        <f t="shared" si="17"/>
        <v>60000</v>
      </c>
    </row>
    <row r="62" spans="1:8" x14ac:dyDescent="0.25">
      <c r="A62" s="6" t="s">
        <v>36</v>
      </c>
      <c r="B62" s="4">
        <f>B18/(B12*3)</f>
        <v>18907.021596027251</v>
      </c>
      <c r="C62" s="18">
        <f t="shared" ref="C62:G62" si="18">C18/(C12*3)</f>
        <v>17000</v>
      </c>
      <c r="D62" s="4">
        <f t="shared" si="18"/>
        <v>75314.799672935405</v>
      </c>
      <c r="E62" s="4">
        <f t="shared" si="18"/>
        <v>40000</v>
      </c>
      <c r="F62" s="4">
        <f t="shared" si="18"/>
        <v>73905.4054054054</v>
      </c>
      <c r="G62" s="4">
        <f t="shared" si="18"/>
        <v>60000</v>
      </c>
    </row>
    <row r="63" spans="1:8" x14ac:dyDescent="0.25">
      <c r="A63" s="6" t="s">
        <v>28</v>
      </c>
      <c r="B63" s="4">
        <f t="shared" ref="B63:G63" si="19">(B61/B62)*B46</f>
        <v>100.48451178377087</v>
      </c>
      <c r="C63" s="18">
        <f t="shared" si="19"/>
        <v>99.693370500545385</v>
      </c>
      <c r="D63" s="4">
        <f t="shared" si="19"/>
        <v>105.0866943509572</v>
      </c>
      <c r="E63" s="4">
        <f t="shared" si="19"/>
        <v>94.963080168776372</v>
      </c>
      <c r="F63" s="4">
        <f t="shared" si="19"/>
        <v>68.121393126686016</v>
      </c>
      <c r="G63" s="4">
        <f t="shared" si="19"/>
        <v>40.606060606060609</v>
      </c>
    </row>
    <row r="64" spans="1:8" x14ac:dyDescent="0.25">
      <c r="A64" s="6" t="s">
        <v>69</v>
      </c>
      <c r="B64" s="4">
        <f>B17/B11</f>
        <v>58876.77941008997</v>
      </c>
      <c r="C64" s="4">
        <f t="shared" ref="C64:G64" si="20">C17/C11</f>
        <v>51000</v>
      </c>
      <c r="D64" s="4">
        <f t="shared" si="20"/>
        <v>240000</v>
      </c>
      <c r="E64" s="4">
        <f t="shared" si="20"/>
        <v>120000</v>
      </c>
      <c r="F64" s="4">
        <f t="shared" si="20"/>
        <v>239964.63306808134</v>
      </c>
      <c r="G64" s="4">
        <f t="shared" si="20"/>
        <v>180000</v>
      </c>
    </row>
    <row r="65" spans="1:7" x14ac:dyDescent="0.25">
      <c r="A65" s="6" t="s">
        <v>70</v>
      </c>
      <c r="B65" s="4">
        <f>B18/B12</f>
        <v>56721.064788081756</v>
      </c>
      <c r="C65" s="4">
        <f t="shared" ref="C65:G65" si="21">C18/C12</f>
        <v>51000</v>
      </c>
      <c r="D65" s="4">
        <f t="shared" si="21"/>
        <v>225944.3990188062</v>
      </c>
      <c r="E65" s="4">
        <f t="shared" si="21"/>
        <v>120000.00000000001</v>
      </c>
      <c r="F65" s="4">
        <f t="shared" si="21"/>
        <v>221716.21621621621</v>
      </c>
      <c r="G65" s="4">
        <f t="shared" si="21"/>
        <v>180000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58.787807279345913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161.59831567144144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91</v>
      </c>
    </row>
    <row r="74" spans="1:7" x14ac:dyDescent="0.25">
      <c r="A74" s="6" t="s">
        <v>76</v>
      </c>
      <c r="B74" s="12"/>
      <c r="C74" s="12"/>
    </row>
    <row r="76" spans="1:7" x14ac:dyDescent="0.25">
      <c r="A76" s="6" t="s">
        <v>130</v>
      </c>
    </row>
    <row r="77" spans="1:7" x14ac:dyDescent="0.25">
      <c r="A77" s="6" t="s">
        <v>128</v>
      </c>
    </row>
    <row r="78" spans="1:7" x14ac:dyDescent="0.25">
      <c r="A78" s="6" t="s">
        <v>37</v>
      </c>
    </row>
    <row r="79" spans="1:7" x14ac:dyDescent="0.25">
      <c r="A79" s="6" t="s">
        <v>66</v>
      </c>
    </row>
  </sheetData>
  <mergeCells count="4">
    <mergeCell ref="A4:A5"/>
    <mergeCell ref="B4:B5"/>
    <mergeCell ref="A2:G2"/>
    <mergeCell ref="C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abSelected="1" zoomScale="80" zoomScaleNormal="80" workbookViewId="0">
      <selection activeCell="F19" sqref="F19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7" style="6" bestFit="1" customWidth="1"/>
    <col min="7" max="7" width="15" style="6" bestFit="1" customWidth="1"/>
    <col min="8" max="16384" width="11.42578125" style="6"/>
  </cols>
  <sheetData>
    <row r="2" spans="1:8" ht="15.75" x14ac:dyDescent="0.25">
      <c r="A2" s="47" t="s">
        <v>99</v>
      </c>
      <c r="B2" s="47"/>
      <c r="C2" s="47"/>
      <c r="D2" s="47"/>
      <c r="E2" s="47"/>
      <c r="F2" s="47"/>
      <c r="G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19" t="s">
        <v>126</v>
      </c>
      <c r="D5" s="30" t="s">
        <v>32</v>
      </c>
      <c r="E5" s="21" t="s">
        <v>2</v>
      </c>
      <c r="F5" s="30" t="s">
        <v>123</v>
      </c>
      <c r="G5" s="22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  <c r="B9" s="31"/>
      <c r="C9" s="31"/>
      <c r="D9" s="31"/>
      <c r="E9" s="31"/>
      <c r="F9" s="31"/>
      <c r="G9" s="31"/>
    </row>
    <row r="10" spans="1:8" x14ac:dyDescent="0.25">
      <c r="A10" s="3" t="s">
        <v>53</v>
      </c>
      <c r="B10" s="33" t="s">
        <v>127</v>
      </c>
      <c r="C10" s="33" t="s">
        <v>127</v>
      </c>
      <c r="D10" s="33" t="s">
        <v>127</v>
      </c>
      <c r="E10" s="33" t="s">
        <v>127</v>
      </c>
      <c r="F10" s="33" t="s">
        <v>127</v>
      </c>
      <c r="G10" s="33" t="s">
        <v>127</v>
      </c>
      <c r="H10" s="31"/>
    </row>
    <row r="11" spans="1:8" x14ac:dyDescent="0.25">
      <c r="A11" s="38" t="s">
        <v>100</v>
      </c>
      <c r="B11" s="15">
        <f>SUM(C11:G11)</f>
        <v>88068</v>
      </c>
      <c r="C11" s="15">
        <v>82510</v>
      </c>
      <c r="D11" s="15">
        <v>400</v>
      </c>
      <c r="E11" s="15">
        <v>2528</v>
      </c>
      <c r="F11" s="15">
        <v>2520</v>
      </c>
      <c r="G11" s="15">
        <v>110</v>
      </c>
    </row>
    <row r="12" spans="1:8" x14ac:dyDescent="0.25">
      <c r="A12" s="38" t="s">
        <v>101</v>
      </c>
      <c r="B12" s="33">
        <f>SUM(C12:G12)</f>
        <v>85733.666666666657</v>
      </c>
      <c r="C12" s="33">
        <v>81161</v>
      </c>
      <c r="D12" s="33">
        <v>331.66666666666669</v>
      </c>
      <c r="E12" s="15">
        <v>2520.3333333333335</v>
      </c>
      <c r="F12" s="15">
        <v>1665.3333333333333</v>
      </c>
      <c r="G12" s="15">
        <v>55.333333333333336</v>
      </c>
    </row>
    <row r="13" spans="1:8" x14ac:dyDescent="0.25">
      <c r="A13" s="38" t="s">
        <v>79</v>
      </c>
      <c r="B13" s="15">
        <f>SUM(C13:G13)</f>
        <v>87850</v>
      </c>
      <c r="C13" s="15">
        <v>82510</v>
      </c>
      <c r="D13" s="15">
        <v>400</v>
      </c>
      <c r="E13" s="15">
        <v>2528</v>
      </c>
      <c r="F13" s="15">
        <v>2302</v>
      </c>
      <c r="G13" s="15">
        <v>110</v>
      </c>
    </row>
    <row r="14" spans="1:8" x14ac:dyDescent="0.25">
      <c r="A14" s="39"/>
      <c r="C14" s="9"/>
    </row>
    <row r="15" spans="1:8" x14ac:dyDescent="0.25">
      <c r="A15" s="40" t="s">
        <v>5</v>
      </c>
    </row>
    <row r="16" spans="1:8" x14ac:dyDescent="0.25">
      <c r="A16" s="38" t="s">
        <v>53</v>
      </c>
      <c r="B16" s="33" t="s">
        <v>127</v>
      </c>
      <c r="C16" s="33" t="s">
        <v>127</v>
      </c>
      <c r="D16" s="33" t="s">
        <v>127</v>
      </c>
      <c r="E16" s="33" t="s">
        <v>127</v>
      </c>
      <c r="F16" s="33" t="s">
        <v>127</v>
      </c>
      <c r="G16" s="33" t="s">
        <v>127</v>
      </c>
      <c r="H16" s="31"/>
    </row>
    <row r="17" spans="1:8" x14ac:dyDescent="0.25">
      <c r="A17" s="38" t="s">
        <v>100</v>
      </c>
      <c r="B17" s="2">
        <f>SUM(C17:G17)</f>
        <v>5232050000</v>
      </c>
      <c r="C17" s="2">
        <v>4208010000</v>
      </c>
      <c r="D17" s="2">
        <v>96000000</v>
      </c>
      <c r="E17" s="2">
        <v>303360000</v>
      </c>
      <c r="F17" s="2">
        <v>604880000</v>
      </c>
      <c r="G17" s="2">
        <v>19800000</v>
      </c>
    </row>
    <row r="18" spans="1:8" x14ac:dyDescent="0.25">
      <c r="A18" s="38" t="s">
        <v>101</v>
      </c>
      <c r="B18" s="2">
        <f>SUM(C18:G18)</f>
        <v>4899511000</v>
      </c>
      <c r="C18" s="2">
        <v>4139211000</v>
      </c>
      <c r="D18" s="2">
        <v>76150000</v>
      </c>
      <c r="E18" s="2">
        <v>302440000</v>
      </c>
      <c r="F18" s="2">
        <v>371750000</v>
      </c>
      <c r="G18" s="2">
        <v>9960000</v>
      </c>
    </row>
    <row r="19" spans="1:8" x14ac:dyDescent="0.25">
      <c r="A19" s="38" t="s">
        <v>79</v>
      </c>
      <c r="B19" s="2">
        <f>SUM(C19:G19)</f>
        <v>20718120000</v>
      </c>
      <c r="C19" s="2">
        <v>16832040000</v>
      </c>
      <c r="D19" s="2">
        <v>384000000</v>
      </c>
      <c r="E19" s="2">
        <v>1213440000</v>
      </c>
      <c r="F19" s="2">
        <v>2209440000</v>
      </c>
      <c r="G19" s="2">
        <v>79200000</v>
      </c>
    </row>
    <row r="20" spans="1:8" x14ac:dyDescent="0.25">
      <c r="A20" s="3" t="s">
        <v>102</v>
      </c>
      <c r="B20" s="2">
        <f>SUM(C20:G20)</f>
        <v>4899511000</v>
      </c>
      <c r="C20" s="2">
        <f>C18</f>
        <v>4139211000</v>
      </c>
      <c r="D20" s="2">
        <f t="shared" ref="D20:G20" si="0">D18</f>
        <v>76150000</v>
      </c>
      <c r="E20" s="2">
        <f t="shared" si="0"/>
        <v>302440000</v>
      </c>
      <c r="F20" s="2">
        <f t="shared" si="0"/>
        <v>371750000</v>
      </c>
      <c r="G20" s="2">
        <f t="shared" si="0"/>
        <v>9960000</v>
      </c>
    </row>
    <row r="21" spans="1:8" x14ac:dyDescent="0.25">
      <c r="B21" s="2"/>
      <c r="C21" s="2"/>
      <c r="D21" s="2"/>
      <c r="E21" s="2"/>
      <c r="F21" s="2"/>
      <c r="G21" s="2"/>
    </row>
    <row r="22" spans="1:8" x14ac:dyDescent="0.25">
      <c r="A22" s="5" t="s">
        <v>6</v>
      </c>
      <c r="B22" s="2"/>
      <c r="C22" s="2"/>
      <c r="D22" s="2"/>
      <c r="E22" s="2"/>
      <c r="F22" s="2"/>
      <c r="G22" s="2"/>
    </row>
    <row r="23" spans="1:8" x14ac:dyDescent="0.25">
      <c r="A23" s="3" t="s">
        <v>100</v>
      </c>
      <c r="B23" s="2">
        <f>B17</f>
        <v>5232050000</v>
      </c>
      <c r="C23" s="2"/>
      <c r="D23" s="2"/>
      <c r="E23" s="2"/>
      <c r="F23" s="2"/>
      <c r="G23" s="2"/>
    </row>
    <row r="24" spans="1:8" x14ac:dyDescent="0.25">
      <c r="A24" s="3" t="s">
        <v>101</v>
      </c>
      <c r="B24" s="2">
        <v>3856563673.4299998</v>
      </c>
      <c r="C24" s="2"/>
      <c r="D24" s="2"/>
      <c r="E24" s="2"/>
      <c r="F24" s="2"/>
      <c r="G24" s="2"/>
    </row>
    <row r="26" spans="1:8" x14ac:dyDescent="0.25">
      <c r="A26" s="6" t="s">
        <v>7</v>
      </c>
    </row>
    <row r="27" spans="1:8" x14ac:dyDescent="0.25">
      <c r="A27" s="6" t="s">
        <v>54</v>
      </c>
      <c r="B27" s="6">
        <v>1.62</v>
      </c>
      <c r="C27" s="6">
        <v>1.62</v>
      </c>
      <c r="D27" s="6">
        <v>1.62</v>
      </c>
      <c r="E27" s="6">
        <v>1.62</v>
      </c>
      <c r="F27" s="6">
        <v>1.62</v>
      </c>
      <c r="G27" s="6">
        <v>1.62</v>
      </c>
    </row>
    <row r="28" spans="1:8" x14ac:dyDescent="0.25">
      <c r="A28" s="6" t="s">
        <v>103</v>
      </c>
      <c r="B28" s="6">
        <v>1.71</v>
      </c>
      <c r="C28" s="6">
        <v>1.71</v>
      </c>
      <c r="D28" s="6">
        <v>1.71</v>
      </c>
      <c r="E28" s="6">
        <v>1.71</v>
      </c>
      <c r="F28" s="6">
        <v>1.71</v>
      </c>
      <c r="G28" s="6">
        <v>1.71</v>
      </c>
    </row>
    <row r="29" spans="1:8" x14ac:dyDescent="0.25">
      <c r="A29" s="3" t="s">
        <v>8</v>
      </c>
      <c r="B29" s="17">
        <f>SUM(C29:E29)</f>
        <v>198424</v>
      </c>
      <c r="C29" s="17">
        <v>166758</v>
      </c>
      <c r="D29" s="15">
        <v>25691</v>
      </c>
      <c r="E29" s="13">
        <v>5975</v>
      </c>
      <c r="F29" s="15">
        <v>25691</v>
      </c>
      <c r="G29" s="15">
        <v>0</v>
      </c>
    </row>
    <row r="31" spans="1:8" x14ac:dyDescent="0.25">
      <c r="A31" s="6" t="s">
        <v>9</v>
      </c>
    </row>
    <row r="32" spans="1:8" x14ac:dyDescent="0.25">
      <c r="A32" s="6" t="s">
        <v>55</v>
      </c>
      <c r="B32" s="35" t="e">
        <f t="shared" ref="B32:G32" si="1">B16/B27</f>
        <v>#VALUE!</v>
      </c>
      <c r="C32" s="33" t="e">
        <f t="shared" si="1"/>
        <v>#VALUE!</v>
      </c>
      <c r="D32" s="35" t="e">
        <f t="shared" si="1"/>
        <v>#VALUE!</v>
      </c>
      <c r="E32" s="35" t="e">
        <f t="shared" si="1"/>
        <v>#VALUE!</v>
      </c>
      <c r="F32" s="35" t="e">
        <f t="shared" si="1"/>
        <v>#VALUE!</v>
      </c>
      <c r="G32" s="35" t="e">
        <f t="shared" si="1"/>
        <v>#VALUE!</v>
      </c>
      <c r="H32" s="31"/>
    </row>
    <row r="33" spans="1:7" x14ac:dyDescent="0.25">
      <c r="A33" s="6" t="s">
        <v>104</v>
      </c>
      <c r="B33" s="2">
        <f t="shared" ref="B33:G33" si="2">B18/B28</f>
        <v>2865211111.1111112</v>
      </c>
      <c r="C33" s="15">
        <f t="shared" si="2"/>
        <v>2420591228.0701756</v>
      </c>
      <c r="D33" s="2">
        <f t="shared" si="2"/>
        <v>44532163.742690057</v>
      </c>
      <c r="E33" s="2">
        <f t="shared" si="2"/>
        <v>176865497.0760234</v>
      </c>
      <c r="F33" s="2">
        <f t="shared" si="2"/>
        <v>217397660.81871346</v>
      </c>
      <c r="G33" s="2">
        <f t="shared" si="2"/>
        <v>5824561.4035087721</v>
      </c>
    </row>
    <row r="34" spans="1:7" x14ac:dyDescent="0.25">
      <c r="A34" s="6" t="s">
        <v>56</v>
      </c>
      <c r="B34" s="2" t="e">
        <f t="shared" ref="B34:G34" si="3">B32/B10</f>
        <v>#VALUE!</v>
      </c>
      <c r="C34" s="15" t="e">
        <f t="shared" si="3"/>
        <v>#VALUE!</v>
      </c>
      <c r="D34" s="2" t="e">
        <f t="shared" si="3"/>
        <v>#VALUE!</v>
      </c>
      <c r="E34" s="2" t="e">
        <f t="shared" si="3"/>
        <v>#VALUE!</v>
      </c>
      <c r="F34" s="2" t="e">
        <f t="shared" si="3"/>
        <v>#VALUE!</v>
      </c>
      <c r="G34" s="2" t="e">
        <f t="shared" si="3"/>
        <v>#VALUE!</v>
      </c>
    </row>
    <row r="35" spans="1:7" x14ac:dyDescent="0.25">
      <c r="A35" s="6" t="s">
        <v>105</v>
      </c>
      <c r="B35" s="2">
        <f t="shared" ref="B35:G35" si="4">B33/B12</f>
        <v>33419.906350804755</v>
      </c>
      <c r="C35" s="15">
        <f t="shared" si="4"/>
        <v>29824.561403508775</v>
      </c>
      <c r="D35" s="2">
        <f t="shared" si="4"/>
        <v>134267.83037997002</v>
      </c>
      <c r="E35" s="2">
        <f t="shared" si="4"/>
        <v>70175.438596491222</v>
      </c>
      <c r="F35" s="2">
        <f t="shared" si="4"/>
        <v>130543.03091596084</v>
      </c>
      <c r="G35" s="2">
        <f t="shared" si="4"/>
        <v>105263.15789473684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6">
        <f>(B11/B29)*100</f>
        <v>44.383743901947341</v>
      </c>
      <c r="C40" s="16">
        <f>(C11/C29)*100</f>
        <v>49.478885570707256</v>
      </c>
      <c r="D40" s="16">
        <f t="shared" ref="D40:F40" si="5">(D11/D29)*100</f>
        <v>1.5569654742906076</v>
      </c>
      <c r="E40" s="16">
        <f t="shared" si="5"/>
        <v>42.309623430962347</v>
      </c>
      <c r="F40" s="16">
        <f t="shared" si="5"/>
        <v>9.808882488030827</v>
      </c>
      <c r="G40" s="15" t="s">
        <v>33</v>
      </c>
    </row>
    <row r="41" spans="1:7" x14ac:dyDescent="0.25">
      <c r="A41" s="6" t="s">
        <v>13</v>
      </c>
      <c r="B41" s="16">
        <f>(B12/B29)*100</f>
        <v>43.207306911798298</v>
      </c>
      <c r="C41" s="16">
        <f>(C12/C29)*100</f>
        <v>48.669928878974325</v>
      </c>
      <c r="D41" s="16">
        <f t="shared" ref="D41:F41" si="6">(D12/D29)*100</f>
        <v>1.2909838724326288</v>
      </c>
      <c r="E41" s="16">
        <f t="shared" si="6"/>
        <v>42.181311018131105</v>
      </c>
      <c r="F41" s="16">
        <f t="shared" si="6"/>
        <v>6.4821662579632289</v>
      </c>
      <c r="G41" s="15" t="s">
        <v>33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7">B12/B11*100</f>
        <v>97.349396678324325</v>
      </c>
      <c r="C44" s="16">
        <f t="shared" si="7"/>
        <v>98.365046661010794</v>
      </c>
      <c r="D44" s="4">
        <f t="shared" si="7"/>
        <v>82.916666666666671</v>
      </c>
      <c r="E44" s="4">
        <f t="shared" si="7"/>
        <v>99.696729957805914</v>
      </c>
      <c r="F44" s="4">
        <f t="shared" si="7"/>
        <v>66.084656084656075</v>
      </c>
      <c r="G44" s="4">
        <f t="shared" si="7"/>
        <v>50.303030303030305</v>
      </c>
    </row>
    <row r="45" spans="1:7" x14ac:dyDescent="0.25">
      <c r="A45" s="6" t="s">
        <v>16</v>
      </c>
      <c r="B45" s="4">
        <f t="shared" ref="B45:G45" si="8">B18/B17*100</f>
        <v>93.644193002742711</v>
      </c>
      <c r="C45" s="16">
        <f t="shared" si="8"/>
        <v>98.365046661010794</v>
      </c>
      <c r="D45" s="4">
        <f t="shared" si="8"/>
        <v>79.322916666666671</v>
      </c>
      <c r="E45" s="4">
        <f t="shared" si="8"/>
        <v>99.696729957805914</v>
      </c>
      <c r="F45" s="4">
        <f t="shared" si="8"/>
        <v>61.458471101706124</v>
      </c>
      <c r="G45" s="4">
        <f t="shared" si="8"/>
        <v>50.303030303030305</v>
      </c>
    </row>
    <row r="46" spans="1:7" x14ac:dyDescent="0.25">
      <c r="A46" s="6" t="s">
        <v>17</v>
      </c>
      <c r="B46" s="4">
        <f t="shared" ref="B46:G46" si="9">AVERAGE(B44:B45)</f>
        <v>95.496794840533511</v>
      </c>
      <c r="C46" s="16">
        <f t="shared" si="9"/>
        <v>98.365046661010794</v>
      </c>
      <c r="D46" s="4">
        <f t="shared" si="9"/>
        <v>81.119791666666671</v>
      </c>
      <c r="E46" s="4">
        <f t="shared" si="9"/>
        <v>99.696729957805914</v>
      </c>
      <c r="F46" s="4">
        <f t="shared" si="9"/>
        <v>63.771563593181099</v>
      </c>
      <c r="G46" s="4">
        <f t="shared" si="9"/>
        <v>50.303030303030305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0">B12/B13*100</f>
        <v>97.590969455511285</v>
      </c>
      <c r="C49" s="16">
        <f t="shared" si="10"/>
        <v>98.365046661010794</v>
      </c>
      <c r="D49" s="4">
        <f t="shared" si="10"/>
        <v>82.916666666666671</v>
      </c>
      <c r="E49" s="4">
        <f t="shared" si="10"/>
        <v>99.696729957805914</v>
      </c>
      <c r="F49" s="4">
        <f t="shared" si="10"/>
        <v>72.342890240370693</v>
      </c>
      <c r="G49" s="4">
        <f t="shared" si="10"/>
        <v>50.303030303030305</v>
      </c>
    </row>
    <row r="50" spans="1:8" x14ac:dyDescent="0.25">
      <c r="A50" s="6" t="s">
        <v>20</v>
      </c>
      <c r="B50" s="4">
        <f t="shared" ref="B50:G50" si="11">B18/B19*100</f>
        <v>23.648434317399456</v>
      </c>
      <c r="C50" s="16">
        <f t="shared" si="11"/>
        <v>24.591261665252699</v>
      </c>
      <c r="D50" s="4">
        <f t="shared" si="11"/>
        <v>19.830729166666668</v>
      </c>
      <c r="E50" s="4">
        <f t="shared" si="11"/>
        <v>24.924182489451479</v>
      </c>
      <c r="F50" s="4">
        <f t="shared" si="11"/>
        <v>16.825530451155043</v>
      </c>
      <c r="G50" s="4">
        <f t="shared" si="11"/>
        <v>12.575757575757576</v>
      </c>
    </row>
    <row r="51" spans="1:8" x14ac:dyDescent="0.25">
      <c r="A51" s="6" t="s">
        <v>21</v>
      </c>
      <c r="B51" s="4">
        <f t="shared" ref="B51:G51" si="12">(B49+B50)/2</f>
        <v>60.619701886455374</v>
      </c>
      <c r="C51" s="16">
        <f t="shared" si="12"/>
        <v>61.478154163131748</v>
      </c>
      <c r="D51" s="4">
        <f t="shared" si="12"/>
        <v>51.373697916666671</v>
      </c>
      <c r="E51" s="4">
        <f t="shared" si="12"/>
        <v>62.310456223628698</v>
      </c>
      <c r="F51" s="4">
        <f t="shared" si="12"/>
        <v>44.58421034576287</v>
      </c>
      <c r="G51" s="4">
        <f t="shared" si="12"/>
        <v>31.439393939393941</v>
      </c>
    </row>
    <row r="53" spans="1:8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G53" si="13">D20/D18*100</f>
        <v>100</v>
      </c>
      <c r="E53" s="16">
        <f t="shared" si="13"/>
        <v>100</v>
      </c>
      <c r="F53" s="16">
        <f t="shared" si="13"/>
        <v>100</v>
      </c>
      <c r="G53" s="16">
        <f t="shared" si="13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 t="e">
        <f t="shared" ref="B56:G56" si="14">((B12/B10)-1)*100</f>
        <v>#VALUE!</v>
      </c>
      <c r="C56" s="41" t="e">
        <f t="shared" si="14"/>
        <v>#VALUE!</v>
      </c>
      <c r="D56" s="32" t="e">
        <f t="shared" si="14"/>
        <v>#VALUE!</v>
      </c>
      <c r="E56" s="32" t="e">
        <f t="shared" si="14"/>
        <v>#VALUE!</v>
      </c>
      <c r="F56" s="32" t="e">
        <f t="shared" si="14"/>
        <v>#VALUE!</v>
      </c>
      <c r="G56" s="32" t="e">
        <f t="shared" si="14"/>
        <v>#VALUE!</v>
      </c>
      <c r="H56" s="31"/>
    </row>
    <row r="57" spans="1:8" x14ac:dyDescent="0.25">
      <c r="A57" s="6" t="s">
        <v>25</v>
      </c>
      <c r="B57" s="32" t="e">
        <f t="shared" ref="B57:G57" si="15">((B33/B32)-1)*100</f>
        <v>#VALUE!</v>
      </c>
      <c r="C57" s="41" t="e">
        <f t="shared" si="15"/>
        <v>#VALUE!</v>
      </c>
      <c r="D57" s="32" t="e">
        <f t="shared" si="15"/>
        <v>#VALUE!</v>
      </c>
      <c r="E57" s="32" t="e">
        <f t="shared" si="15"/>
        <v>#VALUE!</v>
      </c>
      <c r="F57" s="32" t="e">
        <f t="shared" si="15"/>
        <v>#VALUE!</v>
      </c>
      <c r="G57" s="32" t="e">
        <f t="shared" si="15"/>
        <v>#VALUE!</v>
      </c>
      <c r="H57" s="31"/>
    </row>
    <row r="58" spans="1:8" x14ac:dyDescent="0.25">
      <c r="A58" s="6" t="s">
        <v>26</v>
      </c>
      <c r="B58" s="32" t="e">
        <f t="shared" ref="B58:G58" si="16">((B35/B34)-1)*100</f>
        <v>#VALUE!</v>
      </c>
      <c r="C58" s="41" t="e">
        <f t="shared" si="16"/>
        <v>#VALUE!</v>
      </c>
      <c r="D58" s="32" t="e">
        <f t="shared" si="16"/>
        <v>#VALUE!</v>
      </c>
      <c r="E58" s="32" t="e">
        <f t="shared" si="16"/>
        <v>#VALUE!</v>
      </c>
      <c r="F58" s="32" t="e">
        <f t="shared" si="16"/>
        <v>#VALUE!</v>
      </c>
      <c r="G58" s="32" t="e">
        <f t="shared" si="16"/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>B17/(B11*3)</f>
        <v>19803.068840744272</v>
      </c>
      <c r="C61" s="4">
        <f t="shared" ref="C61:G61" si="17">C17/(C11*3)</f>
        <v>17000</v>
      </c>
      <c r="D61" s="4">
        <f t="shared" si="17"/>
        <v>80000</v>
      </c>
      <c r="E61" s="4">
        <f t="shared" si="17"/>
        <v>40000</v>
      </c>
      <c r="F61" s="4">
        <f t="shared" si="17"/>
        <v>80010.582010582017</v>
      </c>
      <c r="G61" s="4">
        <f t="shared" si="17"/>
        <v>60000</v>
      </c>
    </row>
    <row r="62" spans="1:8" x14ac:dyDescent="0.25">
      <c r="A62" s="6" t="s">
        <v>36</v>
      </c>
      <c r="B62" s="4">
        <f>B18/(B12*3)</f>
        <v>19049.346619958713</v>
      </c>
      <c r="C62" s="4">
        <f t="shared" ref="C62:G62" si="18">C18/(C12*3)</f>
        <v>17000</v>
      </c>
      <c r="D62" s="4">
        <f t="shared" si="18"/>
        <v>76532.663316582912</v>
      </c>
      <c r="E62" s="4">
        <f t="shared" si="18"/>
        <v>40000</v>
      </c>
      <c r="F62" s="4">
        <f t="shared" si="18"/>
        <v>74409.527622097681</v>
      </c>
      <c r="G62" s="4">
        <f t="shared" si="18"/>
        <v>60000</v>
      </c>
    </row>
    <row r="63" spans="1:8" x14ac:dyDescent="0.25">
      <c r="A63" s="6" t="s">
        <v>28</v>
      </c>
      <c r="B63" s="4">
        <f t="shared" ref="B63:G63" si="19">(B61/B62)*B46</f>
        <v>99.275300094340778</v>
      </c>
      <c r="C63" s="4">
        <f t="shared" si="19"/>
        <v>98.365046661010794</v>
      </c>
      <c r="D63" s="4">
        <f t="shared" si="19"/>
        <v>84.794949660757283</v>
      </c>
      <c r="E63" s="4">
        <f t="shared" si="19"/>
        <v>99.696729957805914</v>
      </c>
      <c r="F63" s="4">
        <f t="shared" si="19"/>
        <v>68.57186279596786</v>
      </c>
      <c r="G63" s="4">
        <f t="shared" si="19"/>
        <v>50.303030303030305</v>
      </c>
    </row>
    <row r="64" spans="1:8" x14ac:dyDescent="0.25">
      <c r="A64" s="6" t="s">
        <v>69</v>
      </c>
      <c r="B64" s="4">
        <f>B17/B11</f>
        <v>59409.206522232816</v>
      </c>
      <c r="C64" s="4">
        <f t="shared" ref="C64:G64" si="20">C17/C11</f>
        <v>51000</v>
      </c>
      <c r="D64" s="4">
        <f t="shared" si="20"/>
        <v>240000</v>
      </c>
      <c r="E64" s="4">
        <f t="shared" si="20"/>
        <v>120000</v>
      </c>
      <c r="F64" s="4">
        <f t="shared" si="20"/>
        <v>240031.74603174604</v>
      </c>
      <c r="G64" s="4">
        <f t="shared" si="20"/>
        <v>180000</v>
      </c>
    </row>
    <row r="65" spans="1:7" x14ac:dyDescent="0.25">
      <c r="A65" s="6" t="s">
        <v>70</v>
      </c>
      <c r="B65" s="4">
        <f>B18/B12</f>
        <v>57148.039859876131</v>
      </c>
      <c r="C65" s="4">
        <f t="shared" ref="C65:G65" si="21">C18/C12</f>
        <v>51000</v>
      </c>
      <c r="D65" s="4">
        <f t="shared" si="21"/>
        <v>229597.98994974873</v>
      </c>
      <c r="E65" s="4">
        <f t="shared" si="21"/>
        <v>120000</v>
      </c>
      <c r="F65" s="4">
        <f t="shared" si="21"/>
        <v>223228.58286629306</v>
      </c>
      <c r="G65" s="4">
        <f t="shared" si="21"/>
        <v>180000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73.710374966408949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127.04343594157257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91</v>
      </c>
    </row>
    <row r="74" spans="1:7" x14ac:dyDescent="0.25">
      <c r="A74" s="6" t="s">
        <v>76</v>
      </c>
      <c r="B74" s="12"/>
      <c r="C74" s="12"/>
    </row>
    <row r="78" spans="1:7" x14ac:dyDescent="0.25">
      <c r="A78" s="6" t="s">
        <v>131</v>
      </c>
    </row>
    <row r="79" spans="1:7" x14ac:dyDescent="0.25">
      <c r="A79" s="6" t="s">
        <v>66</v>
      </c>
    </row>
    <row r="80" spans="1:7" x14ac:dyDescent="0.25">
      <c r="A80" s="6" t="s">
        <v>128</v>
      </c>
    </row>
  </sheetData>
  <mergeCells count="4">
    <mergeCell ref="A4:A5"/>
    <mergeCell ref="B4:B5"/>
    <mergeCell ref="A2:G2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zoomScale="90" zoomScaleNormal="90" workbookViewId="0">
      <selection activeCell="G12" sqref="G12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7" width="15" style="6" bestFit="1" customWidth="1"/>
    <col min="8" max="16384" width="11.42578125" style="6"/>
  </cols>
  <sheetData>
    <row r="2" spans="1:8" ht="15.75" x14ac:dyDescent="0.25">
      <c r="A2" s="47" t="s">
        <v>106</v>
      </c>
      <c r="B2" s="47"/>
      <c r="C2" s="47"/>
      <c r="D2" s="47"/>
      <c r="E2" s="47"/>
      <c r="F2" s="47"/>
      <c r="G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27" t="s">
        <v>126</v>
      </c>
      <c r="D5" s="22" t="s">
        <v>32</v>
      </c>
      <c r="E5" s="21" t="s">
        <v>2</v>
      </c>
      <c r="F5" s="28" t="s">
        <v>123</v>
      </c>
      <c r="G5" s="30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</row>
    <row r="10" spans="1:8" x14ac:dyDescent="0.25">
      <c r="A10" s="3" t="s">
        <v>57</v>
      </c>
      <c r="B10" s="35" t="e">
        <f>SUM(C10:G10)</f>
        <v>#DIV/0!</v>
      </c>
      <c r="C10" s="33" t="e">
        <f>AVERAGE('I Trimestre'!C10,'II Trimestre'!C10)</f>
        <v>#DIV/0!</v>
      </c>
      <c r="D10" s="33" t="e">
        <f>AVERAGE('I Trimestre'!D10,'II Trimestre'!D10)</f>
        <v>#DIV/0!</v>
      </c>
      <c r="E10" s="33" t="e">
        <f>AVERAGE('I Trimestre'!E10,'II Trimestre'!E10)</f>
        <v>#DIV/0!</v>
      </c>
      <c r="F10" s="33" t="e">
        <f>AVERAGE('I Trimestre'!F10,'II Trimestre'!F10)</f>
        <v>#DIV/0!</v>
      </c>
      <c r="G10" s="33" t="e">
        <f>AVERAGE('I Trimestre'!G10,'II Trimestre'!G10)</f>
        <v>#DIV/0!</v>
      </c>
      <c r="H10" s="31"/>
    </row>
    <row r="11" spans="1:8" x14ac:dyDescent="0.25">
      <c r="A11" s="38" t="s">
        <v>107</v>
      </c>
      <c r="B11" s="2">
        <f>SUM(C11:G11)</f>
        <v>87760</v>
      </c>
      <c r="C11" s="15">
        <f>AVERAGE('I Trimestre'!C11,'II Trimestre'!C11)</f>
        <v>82510</v>
      </c>
      <c r="D11" s="15">
        <f>AVERAGE('I Trimestre'!D11,'II Trimestre'!D11)</f>
        <v>400</v>
      </c>
      <c r="E11" s="15">
        <f>AVERAGE('I Trimestre'!E11,'II Trimestre'!E11)</f>
        <v>2528</v>
      </c>
      <c r="F11" s="15">
        <f>AVERAGE('I Trimestre'!F11,'II Trimestre'!F11)</f>
        <v>2212</v>
      </c>
      <c r="G11" s="15">
        <f>AVERAGE('I Trimestre'!G11,'II Trimestre'!G11)</f>
        <v>110</v>
      </c>
    </row>
    <row r="12" spans="1:8" x14ac:dyDescent="0.25">
      <c r="A12" s="38" t="s">
        <v>108</v>
      </c>
      <c r="B12" s="2">
        <f>SUM(C12:G12)</f>
        <v>85727.666666666657</v>
      </c>
      <c r="C12" s="15">
        <f>AVERAGE('I Trimestre'!C12,'II Trimestre'!C12)</f>
        <v>82274.666666666657</v>
      </c>
      <c r="D12" s="15">
        <f>AVERAGE('I Trimestre'!D12,'II Trimestre'!D12)</f>
        <v>283.83333333333337</v>
      </c>
      <c r="E12" s="15">
        <f>AVERAGE('I Trimestre'!E12,'II Trimestre'!E12)</f>
        <v>1799.6666666666665</v>
      </c>
      <c r="F12" s="15">
        <f>AVERAGE('I Trimestre'!F12,'II Trimestre'!F12)</f>
        <v>1334.8333333333333</v>
      </c>
      <c r="G12" s="15">
        <f>AVERAGE('I Trimestre'!G12,'II Trimestre'!G12)</f>
        <v>34.666666666666671</v>
      </c>
    </row>
    <row r="13" spans="1:8" x14ac:dyDescent="0.25">
      <c r="A13" s="38" t="s">
        <v>79</v>
      </c>
      <c r="B13" s="2">
        <f>SUM(C13:G13)</f>
        <v>87760</v>
      </c>
      <c r="C13" s="15">
        <f>'II Trimestre'!C13</f>
        <v>82510</v>
      </c>
      <c r="D13" s="15">
        <f>'II Trimestre'!D13</f>
        <v>400</v>
      </c>
      <c r="E13" s="15">
        <f>'II Trimestre'!E13</f>
        <v>2528</v>
      </c>
      <c r="F13" s="15">
        <f>'II Trimestre'!F13</f>
        <v>2212</v>
      </c>
      <c r="G13" s="15">
        <f>'II Trimestre'!G13</f>
        <v>110</v>
      </c>
    </row>
    <row r="14" spans="1:8" x14ac:dyDescent="0.25">
      <c r="A14" s="39"/>
      <c r="C14" s="9"/>
    </row>
    <row r="15" spans="1:8" x14ac:dyDescent="0.25">
      <c r="A15" s="40" t="s">
        <v>5</v>
      </c>
    </row>
    <row r="16" spans="1:8" x14ac:dyDescent="0.25">
      <c r="A16" s="38" t="s">
        <v>57</v>
      </c>
      <c r="B16" s="35" t="e">
        <f>SUM(C16:G16)</f>
        <v>#VALUE!</v>
      </c>
      <c r="C16" s="33" t="e">
        <f>'I Trimestre'!C16+'II Trimestre'!C16</f>
        <v>#VALUE!</v>
      </c>
      <c r="D16" s="33" t="e">
        <f>'I Trimestre'!D16+'II Trimestre'!D16</f>
        <v>#VALUE!</v>
      </c>
      <c r="E16" s="33" t="e">
        <f>'I Trimestre'!E16+'II Trimestre'!E16</f>
        <v>#VALUE!</v>
      </c>
      <c r="F16" s="33" t="e">
        <f>'I Trimestre'!F16+'II Trimestre'!F16</f>
        <v>#VALUE!</v>
      </c>
      <c r="G16" s="33" t="e">
        <f>'I Trimestre'!G16+'II Trimestre'!G16</f>
        <v>#VALUE!</v>
      </c>
      <c r="H16" s="31"/>
    </row>
    <row r="17" spans="1:8" x14ac:dyDescent="0.25">
      <c r="A17" s="38" t="s">
        <v>107</v>
      </c>
      <c r="B17" s="2">
        <f>SUM(C17:G17)</f>
        <v>10316100000</v>
      </c>
      <c r="C17" s="33">
        <f>'I Trimestre'!C17+'II Trimestre'!C17</f>
        <v>8416020000</v>
      </c>
      <c r="D17" s="33">
        <f>'I Trimestre'!D17+'II Trimestre'!D17</f>
        <v>192000000</v>
      </c>
      <c r="E17" s="33">
        <f>'I Trimestre'!E17+'II Trimestre'!E17</f>
        <v>606720000</v>
      </c>
      <c r="F17" s="33">
        <f>'I Trimestre'!F17+'II Trimestre'!F17</f>
        <v>1061760000</v>
      </c>
      <c r="G17" s="33">
        <f>'I Trimestre'!G17+'II Trimestre'!G17</f>
        <v>39600000</v>
      </c>
      <c r="H17" s="31"/>
    </row>
    <row r="18" spans="1:8" x14ac:dyDescent="0.25">
      <c r="A18" s="38" t="s">
        <v>108</v>
      </c>
      <c r="B18" s="2">
        <f>SUM(C18:G18)</f>
        <v>9639440000</v>
      </c>
      <c r="C18" s="15">
        <f>'I Trimestre'!C18+'II Trimestre'!C18</f>
        <v>8396640000</v>
      </c>
      <c r="D18" s="15">
        <f>'I Trimestre'!D18+'II Trimestre'!D18</f>
        <v>191620000</v>
      </c>
      <c r="E18" s="15">
        <f>'I Trimestre'!E18+'II Trimestre'!E18</f>
        <v>437280000</v>
      </c>
      <c r="F18" s="15">
        <f>'I Trimestre'!F18+'II Trimestre'!F18</f>
        <v>601300000</v>
      </c>
      <c r="G18" s="15">
        <f>'I Trimestre'!G18+'II Trimestre'!G18</f>
        <v>12600000</v>
      </c>
    </row>
    <row r="19" spans="1:8" x14ac:dyDescent="0.25">
      <c r="A19" s="38" t="s">
        <v>79</v>
      </c>
      <c r="B19" s="2">
        <f>SUM(C19:G19)</f>
        <v>20632200000</v>
      </c>
      <c r="C19" s="17">
        <f>'II Trimestre'!C19</f>
        <v>16832040000</v>
      </c>
      <c r="D19" s="17">
        <f>'II Trimestre'!D19</f>
        <v>384000000</v>
      </c>
      <c r="E19" s="17">
        <f>'II Trimestre'!E19</f>
        <v>1213440000</v>
      </c>
      <c r="F19" s="17">
        <f>'II Trimestre'!F19</f>
        <v>2123520000</v>
      </c>
      <c r="G19" s="17">
        <f>'II Trimestre'!G19</f>
        <v>79200000</v>
      </c>
    </row>
    <row r="20" spans="1:8" x14ac:dyDescent="0.25">
      <c r="A20" s="3" t="s">
        <v>109</v>
      </c>
      <c r="B20" s="2">
        <f>SUM(C20:G20)</f>
        <v>9639440000</v>
      </c>
      <c r="C20" s="15">
        <f>C18</f>
        <v>8396640000</v>
      </c>
      <c r="D20" s="15">
        <f t="shared" ref="D20:G20" si="0">D18</f>
        <v>191620000</v>
      </c>
      <c r="E20" s="15">
        <f t="shared" si="0"/>
        <v>437280000</v>
      </c>
      <c r="F20" s="15">
        <f t="shared" si="0"/>
        <v>601300000</v>
      </c>
      <c r="G20" s="15">
        <f t="shared" si="0"/>
        <v>12600000</v>
      </c>
    </row>
    <row r="21" spans="1:8" x14ac:dyDescent="0.25">
      <c r="B21" s="2"/>
      <c r="C21" s="2"/>
      <c r="D21" s="2"/>
      <c r="E21" s="2"/>
      <c r="F21" s="2"/>
      <c r="G21" s="2"/>
    </row>
    <row r="22" spans="1:8" x14ac:dyDescent="0.25">
      <c r="A22" s="5" t="s">
        <v>6</v>
      </c>
      <c r="B22" s="2"/>
      <c r="C22" s="2"/>
      <c r="D22" s="2"/>
      <c r="E22" s="2"/>
      <c r="F22" s="2"/>
      <c r="G22" s="2"/>
    </row>
    <row r="23" spans="1:8" x14ac:dyDescent="0.25">
      <c r="A23" s="3" t="s">
        <v>107</v>
      </c>
      <c r="B23" s="2">
        <f>B17</f>
        <v>10316100000</v>
      </c>
      <c r="C23" s="2"/>
      <c r="D23" s="2"/>
      <c r="E23" s="2"/>
      <c r="F23" s="2"/>
      <c r="G23" s="2"/>
    </row>
    <row r="24" spans="1:8" x14ac:dyDescent="0.25">
      <c r="A24" s="3" t="s">
        <v>108</v>
      </c>
      <c r="B24" s="2">
        <f>+'I Trimestre'!B24+'II Trimestre'!B24</f>
        <v>13584600000</v>
      </c>
      <c r="C24" s="2"/>
      <c r="D24" s="2"/>
      <c r="E24" s="2"/>
      <c r="F24" s="2"/>
      <c r="G24" s="2"/>
    </row>
    <row r="26" spans="1:8" x14ac:dyDescent="0.25">
      <c r="A26" s="6" t="s">
        <v>7</v>
      </c>
    </row>
    <row r="27" spans="1:8" x14ac:dyDescent="0.25">
      <c r="A27" s="6" t="s">
        <v>58</v>
      </c>
      <c r="B27" s="9">
        <v>1.61</v>
      </c>
      <c r="C27" s="9">
        <v>1.61</v>
      </c>
      <c r="D27" s="9">
        <v>1.61</v>
      </c>
      <c r="E27" s="9">
        <v>1.61</v>
      </c>
      <c r="F27" s="9">
        <v>1.61</v>
      </c>
      <c r="G27" s="9">
        <v>1.61</v>
      </c>
    </row>
    <row r="28" spans="1:8" x14ac:dyDescent="0.25">
      <c r="A28" s="6" t="s">
        <v>110</v>
      </c>
      <c r="B28" s="6">
        <v>1.67</v>
      </c>
      <c r="C28" s="6">
        <v>1.67</v>
      </c>
      <c r="D28" s="6">
        <v>1.67</v>
      </c>
      <c r="E28" s="6">
        <v>1.67</v>
      </c>
      <c r="F28" s="6">
        <v>1.67</v>
      </c>
      <c r="G28" s="6">
        <v>1.67</v>
      </c>
    </row>
    <row r="29" spans="1:8" x14ac:dyDescent="0.25">
      <c r="A29" s="3" t="s">
        <v>8</v>
      </c>
      <c r="B29" s="15">
        <f>SUM(C29:E29)</f>
        <v>198424</v>
      </c>
      <c r="C29" s="17">
        <v>166758</v>
      </c>
      <c r="D29" s="15">
        <v>25691</v>
      </c>
      <c r="E29" s="13">
        <v>5975</v>
      </c>
      <c r="F29" s="15">
        <v>25691</v>
      </c>
      <c r="G29" s="15">
        <v>0</v>
      </c>
    </row>
    <row r="31" spans="1:8" x14ac:dyDescent="0.25">
      <c r="A31" s="6" t="s">
        <v>9</v>
      </c>
    </row>
    <row r="32" spans="1:8" x14ac:dyDescent="0.25">
      <c r="A32" s="6" t="s">
        <v>59</v>
      </c>
      <c r="B32" s="42" t="e">
        <f>B16/B27</f>
        <v>#VALUE!</v>
      </c>
      <c r="C32" s="42" t="e">
        <f t="shared" ref="C32:G32" si="1">C16/C27</f>
        <v>#VALUE!</v>
      </c>
      <c r="D32" s="42" t="e">
        <f t="shared" si="1"/>
        <v>#VALUE!</v>
      </c>
      <c r="E32" s="42" t="e">
        <f t="shared" si="1"/>
        <v>#VALUE!</v>
      </c>
      <c r="F32" s="42" t="e">
        <f t="shared" si="1"/>
        <v>#VALUE!</v>
      </c>
      <c r="G32" s="42" t="e">
        <f t="shared" si="1"/>
        <v>#VALUE!</v>
      </c>
      <c r="H32" s="31"/>
    </row>
    <row r="33" spans="1:7" x14ac:dyDescent="0.25">
      <c r="A33" s="6" t="s">
        <v>111</v>
      </c>
      <c r="B33" s="35">
        <f>B18/B28</f>
        <v>5772119760.4790421</v>
      </c>
      <c r="C33" s="35">
        <f t="shared" ref="C33:G33" si="2">C18/C28</f>
        <v>5027928143.712575</v>
      </c>
      <c r="D33" s="35">
        <f t="shared" si="2"/>
        <v>114742514.97005989</v>
      </c>
      <c r="E33" s="35">
        <f t="shared" si="2"/>
        <v>261844311.37724552</v>
      </c>
      <c r="F33" s="35">
        <f t="shared" si="2"/>
        <v>360059880.23952097</v>
      </c>
      <c r="G33" s="35">
        <f t="shared" si="2"/>
        <v>7544910.1796407187</v>
      </c>
    </row>
    <row r="34" spans="1:7" x14ac:dyDescent="0.25">
      <c r="A34" s="6" t="s">
        <v>60</v>
      </c>
      <c r="B34" s="2" t="e">
        <f t="shared" ref="B34:G34" si="3">B32/B10</f>
        <v>#VALUE!</v>
      </c>
      <c r="C34" s="15" t="e">
        <f t="shared" si="3"/>
        <v>#VALUE!</v>
      </c>
      <c r="D34" s="2" t="e">
        <f t="shared" si="3"/>
        <v>#VALUE!</v>
      </c>
      <c r="E34" s="2" t="e">
        <f t="shared" si="3"/>
        <v>#VALUE!</v>
      </c>
      <c r="F34" s="2" t="e">
        <f t="shared" si="3"/>
        <v>#VALUE!</v>
      </c>
      <c r="G34" s="2" t="e">
        <f t="shared" si="3"/>
        <v>#VALUE!</v>
      </c>
    </row>
    <row r="35" spans="1:7" x14ac:dyDescent="0.25">
      <c r="A35" s="6" t="s">
        <v>112</v>
      </c>
      <c r="B35" s="2">
        <f t="shared" ref="B35:G35" si="4">B33/B12</f>
        <v>67330.886106146703</v>
      </c>
      <c r="C35" s="15">
        <f t="shared" si="4"/>
        <v>61111.498197653898</v>
      </c>
      <c r="D35" s="2">
        <f t="shared" si="4"/>
        <v>404260.18192622386</v>
      </c>
      <c r="E35" s="2">
        <f t="shared" si="4"/>
        <v>145496.00558098475</v>
      </c>
      <c r="F35" s="2">
        <f t="shared" si="4"/>
        <v>269741.45104721264</v>
      </c>
      <c r="G35" s="2">
        <f t="shared" si="4"/>
        <v>217641.63979732839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6">
        <f>(B11/B29)*100</f>
        <v>44.228520743458454</v>
      </c>
      <c r="C40" s="16">
        <f>(C11/C29)*100</f>
        <v>49.478885570707256</v>
      </c>
      <c r="D40" s="16">
        <f t="shared" ref="D40:F40" si="5">(D11/D29)*100</f>
        <v>1.5569654742906076</v>
      </c>
      <c r="E40" s="16">
        <f t="shared" si="5"/>
        <v>42.309623430962347</v>
      </c>
      <c r="F40" s="16">
        <f t="shared" si="5"/>
        <v>8.6100190728270611</v>
      </c>
      <c r="G40" s="15" t="s">
        <v>33</v>
      </c>
    </row>
    <row r="41" spans="1:7" x14ac:dyDescent="0.25">
      <c r="A41" s="6" t="s">
        <v>13</v>
      </c>
      <c r="B41" s="16">
        <f>(B12/B29)*100</f>
        <v>43.204283084035531</v>
      </c>
      <c r="C41" s="16">
        <f>(C12/C29)*100</f>
        <v>49.337762905927548</v>
      </c>
      <c r="D41" s="16">
        <f t="shared" ref="D41:F41" si="6">(D12/D29)*100</f>
        <v>1.1047967511320438</v>
      </c>
      <c r="E41" s="16">
        <f t="shared" si="6"/>
        <v>30.119944211994422</v>
      </c>
      <c r="F41" s="16">
        <f t="shared" si="6"/>
        <v>5.1957235348306146</v>
      </c>
      <c r="G41" s="15" t="s">
        <v>33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7">B12/B11*100</f>
        <v>97.684214524460643</v>
      </c>
      <c r="C44" s="16">
        <f t="shared" si="7"/>
        <v>99.714782046620599</v>
      </c>
      <c r="D44" s="4">
        <f t="shared" si="7"/>
        <v>70.958333333333343</v>
      </c>
      <c r="E44" s="4">
        <f t="shared" si="7"/>
        <v>71.189345991561169</v>
      </c>
      <c r="F44" s="4">
        <f t="shared" si="7"/>
        <v>60.345087402049423</v>
      </c>
      <c r="G44" s="4">
        <f t="shared" si="7"/>
        <v>31.515151515151519</v>
      </c>
    </row>
    <row r="45" spans="1:7" x14ac:dyDescent="0.25">
      <c r="A45" s="6" t="s">
        <v>16</v>
      </c>
      <c r="B45" s="4">
        <f t="shared" ref="B45:G45" si="8">B18/B17*100</f>
        <v>93.440738263491056</v>
      </c>
      <c r="C45" s="16">
        <f t="shared" si="8"/>
        <v>99.769724881832502</v>
      </c>
      <c r="D45" s="4">
        <f t="shared" si="8"/>
        <v>99.802083333333343</v>
      </c>
      <c r="E45" s="4">
        <f t="shared" si="8"/>
        <v>72.072784810126578</v>
      </c>
      <c r="F45" s="4">
        <f t="shared" si="8"/>
        <v>56.632383966244724</v>
      </c>
      <c r="G45" s="4">
        <f t="shared" si="8"/>
        <v>31.818181818181817</v>
      </c>
    </row>
    <row r="46" spans="1:7" x14ac:dyDescent="0.25">
      <c r="A46" s="6" t="s">
        <v>17</v>
      </c>
      <c r="B46" s="4">
        <f t="shared" ref="B46:G46" si="9">AVERAGE(B44:B45)</f>
        <v>95.562476393975857</v>
      </c>
      <c r="C46" s="16">
        <f t="shared" si="9"/>
        <v>99.74225346422655</v>
      </c>
      <c r="D46" s="4">
        <f t="shared" si="9"/>
        <v>85.380208333333343</v>
      </c>
      <c r="E46" s="4">
        <f t="shared" si="9"/>
        <v>71.63106540084388</v>
      </c>
      <c r="F46" s="4">
        <f t="shared" si="9"/>
        <v>58.488735684147073</v>
      </c>
      <c r="G46" s="4">
        <f t="shared" si="9"/>
        <v>31.666666666666668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0">B12/B13*100</f>
        <v>97.684214524460643</v>
      </c>
      <c r="C49" s="16">
        <f t="shared" si="10"/>
        <v>99.714782046620599</v>
      </c>
      <c r="D49" s="4">
        <f t="shared" si="10"/>
        <v>70.958333333333343</v>
      </c>
      <c r="E49" s="4">
        <f t="shared" si="10"/>
        <v>71.189345991561169</v>
      </c>
      <c r="F49" s="4">
        <f t="shared" si="10"/>
        <v>60.345087402049423</v>
      </c>
      <c r="G49" s="4">
        <f t="shared" si="10"/>
        <v>31.515151515151519</v>
      </c>
    </row>
    <row r="50" spans="1:8" x14ac:dyDescent="0.25">
      <c r="A50" s="6" t="s">
        <v>20</v>
      </c>
      <c r="B50" s="4">
        <f t="shared" ref="B50:G50" si="11">B18/B19*100</f>
        <v>46.720369131745528</v>
      </c>
      <c r="C50" s="16">
        <f t="shared" si="11"/>
        <v>49.884862440916251</v>
      </c>
      <c r="D50" s="4">
        <f t="shared" si="11"/>
        <v>49.901041666666671</v>
      </c>
      <c r="E50" s="4">
        <f t="shared" si="11"/>
        <v>36.036392405063289</v>
      </c>
      <c r="F50" s="4">
        <f t="shared" si="11"/>
        <v>28.316191983122362</v>
      </c>
      <c r="G50" s="4">
        <f t="shared" si="11"/>
        <v>15.909090909090908</v>
      </c>
    </row>
    <row r="51" spans="1:8" x14ac:dyDescent="0.25">
      <c r="A51" s="6" t="s">
        <v>21</v>
      </c>
      <c r="B51" s="4">
        <f t="shared" ref="B51:G51" si="12">(B49+B50)/2</f>
        <v>72.202291828103085</v>
      </c>
      <c r="C51" s="16">
        <f t="shared" si="12"/>
        <v>74.799822243768432</v>
      </c>
      <c r="D51" s="4">
        <f t="shared" si="12"/>
        <v>60.429687500000007</v>
      </c>
      <c r="E51" s="4">
        <f t="shared" si="12"/>
        <v>53.612869198312225</v>
      </c>
      <c r="F51" s="4">
        <f t="shared" si="12"/>
        <v>44.330639692585891</v>
      </c>
      <c r="G51" s="4">
        <f t="shared" si="12"/>
        <v>23.712121212121215</v>
      </c>
    </row>
    <row r="53" spans="1:8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G53" si="13">D20/D18*100</f>
        <v>100</v>
      </c>
      <c r="E53" s="16">
        <f t="shared" si="13"/>
        <v>100</v>
      </c>
      <c r="F53" s="16">
        <f t="shared" si="13"/>
        <v>100</v>
      </c>
      <c r="G53" s="16">
        <f t="shared" si="13"/>
        <v>100</v>
      </c>
    </row>
    <row r="55" spans="1:8" x14ac:dyDescent="0.25">
      <c r="A55" s="39" t="s">
        <v>23</v>
      </c>
      <c r="B55" s="39"/>
      <c r="C55" s="39"/>
      <c r="D55" s="39"/>
      <c r="E55" s="39"/>
      <c r="F55" s="39"/>
      <c r="G55" s="39"/>
    </row>
    <row r="56" spans="1:8" x14ac:dyDescent="0.25">
      <c r="A56" s="39" t="s">
        <v>24</v>
      </c>
      <c r="B56" s="32" t="e">
        <f t="shared" ref="B56:G56" si="14">((B12/B10)-1)*100</f>
        <v>#DIV/0!</v>
      </c>
      <c r="C56" s="41" t="e">
        <f t="shared" si="14"/>
        <v>#DIV/0!</v>
      </c>
      <c r="D56" s="32" t="e">
        <f t="shared" si="14"/>
        <v>#DIV/0!</v>
      </c>
      <c r="E56" s="32" t="e">
        <f t="shared" si="14"/>
        <v>#DIV/0!</v>
      </c>
      <c r="F56" s="32" t="e">
        <f t="shared" si="14"/>
        <v>#DIV/0!</v>
      </c>
      <c r="G56" s="32" t="e">
        <f t="shared" si="14"/>
        <v>#DIV/0!</v>
      </c>
      <c r="H56" s="31"/>
    </row>
    <row r="57" spans="1:8" x14ac:dyDescent="0.25">
      <c r="A57" s="39" t="s">
        <v>25</v>
      </c>
      <c r="B57" s="32" t="e">
        <f t="shared" ref="B57:G57" si="15">((B33/B32)-1)*100</f>
        <v>#VALUE!</v>
      </c>
      <c r="C57" s="41" t="e">
        <f t="shared" si="15"/>
        <v>#VALUE!</v>
      </c>
      <c r="D57" s="32" t="e">
        <f t="shared" si="15"/>
        <v>#VALUE!</v>
      </c>
      <c r="E57" s="32" t="e">
        <f t="shared" si="15"/>
        <v>#VALUE!</v>
      </c>
      <c r="F57" s="32" t="e">
        <f t="shared" si="15"/>
        <v>#VALUE!</v>
      </c>
      <c r="G57" s="32" t="e">
        <f t="shared" si="15"/>
        <v>#VALUE!</v>
      </c>
      <c r="H57" s="31"/>
    </row>
    <row r="58" spans="1:8" x14ac:dyDescent="0.25">
      <c r="A58" s="39" t="s">
        <v>26</v>
      </c>
      <c r="B58" s="32" t="e">
        <f t="shared" ref="B58:G58" si="16">((B35/B34)-1)*100</f>
        <v>#VALUE!</v>
      </c>
      <c r="C58" s="41" t="e">
        <f t="shared" si="16"/>
        <v>#VALUE!</v>
      </c>
      <c r="D58" s="32" t="e">
        <f t="shared" si="16"/>
        <v>#VALUE!</v>
      </c>
      <c r="E58" s="32" t="e">
        <f t="shared" si="16"/>
        <v>#VALUE!</v>
      </c>
      <c r="F58" s="32" t="e">
        <f t="shared" si="16"/>
        <v>#VALUE!</v>
      </c>
      <c r="G58" s="32" t="e">
        <f t="shared" si="16"/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>B17/(B11*6)</f>
        <v>19591.499544211485</v>
      </c>
      <c r="C61" s="16">
        <f t="shared" ref="C61:G61" si="17">C17/(C11*6)</f>
        <v>17000</v>
      </c>
      <c r="D61" s="4">
        <f t="shared" si="17"/>
        <v>80000</v>
      </c>
      <c r="E61" s="4">
        <f t="shared" si="17"/>
        <v>40000</v>
      </c>
      <c r="F61" s="4">
        <f t="shared" si="17"/>
        <v>80000</v>
      </c>
      <c r="G61" s="4">
        <f t="shared" si="17"/>
        <v>60000</v>
      </c>
    </row>
    <row r="62" spans="1:8" x14ac:dyDescent="0.25">
      <c r="A62" s="6" t="s">
        <v>36</v>
      </c>
      <c r="B62" s="4">
        <f>B18/(B12*6)</f>
        <v>18740.429966210831</v>
      </c>
      <c r="C62" s="16">
        <f t="shared" ref="C62:G62" si="18">C18/(C12*6)</f>
        <v>17009.366998347003</v>
      </c>
      <c r="D62" s="4">
        <f t="shared" si="18"/>
        <v>112519.08396946563</v>
      </c>
      <c r="E62" s="4">
        <f t="shared" si="18"/>
        <v>40496.388220040746</v>
      </c>
      <c r="F62" s="4">
        <f t="shared" si="18"/>
        <v>75078.037208140842</v>
      </c>
      <c r="G62" s="4">
        <f t="shared" si="18"/>
        <v>60576.923076923071</v>
      </c>
    </row>
    <row r="63" spans="1:8" x14ac:dyDescent="0.25">
      <c r="A63" s="6" t="s">
        <v>28</v>
      </c>
      <c r="B63" s="4">
        <f t="shared" ref="B63:G63" si="19">(B61/B62)*B46</f>
        <v>99.902308329740293</v>
      </c>
      <c r="C63" s="16">
        <f t="shared" si="19"/>
        <v>99.687325757427317</v>
      </c>
      <c r="D63" s="4">
        <f t="shared" si="19"/>
        <v>60.704517186793318</v>
      </c>
      <c r="E63" s="4">
        <f t="shared" si="19"/>
        <v>70.75304099874792</v>
      </c>
      <c r="F63" s="4">
        <f t="shared" si="19"/>
        <v>62.323137747458361</v>
      </c>
      <c r="G63" s="4">
        <f t="shared" si="19"/>
        <v>31.365079365079371</v>
      </c>
    </row>
    <row r="64" spans="1:8" x14ac:dyDescent="0.25">
      <c r="A64" s="6" t="s">
        <v>71</v>
      </c>
      <c r="B64" s="4">
        <f>B17/B11</f>
        <v>117548.99726526892</v>
      </c>
      <c r="C64" s="4">
        <f t="shared" ref="C64:G64" si="20">C17/C11</f>
        <v>102000</v>
      </c>
      <c r="D64" s="4">
        <f t="shared" si="20"/>
        <v>480000</v>
      </c>
      <c r="E64" s="4">
        <f t="shared" si="20"/>
        <v>240000</v>
      </c>
      <c r="F64" s="4">
        <f t="shared" si="20"/>
        <v>480000</v>
      </c>
      <c r="G64" s="4">
        <f t="shared" si="20"/>
        <v>360000</v>
      </c>
    </row>
    <row r="65" spans="1:7" x14ac:dyDescent="0.25">
      <c r="A65" s="6" t="s">
        <v>72</v>
      </c>
      <c r="B65" s="4">
        <f>B18/B12</f>
        <v>112442.57979726499</v>
      </c>
      <c r="C65" s="4">
        <f t="shared" ref="C65:G65" si="21">C18/C12</f>
        <v>102056.20199008202</v>
      </c>
      <c r="D65" s="4">
        <f t="shared" si="21"/>
        <v>675114.50381679379</v>
      </c>
      <c r="E65" s="4">
        <f t="shared" si="21"/>
        <v>242978.32932024452</v>
      </c>
      <c r="F65" s="4">
        <f t="shared" si="21"/>
        <v>450468.22324884508</v>
      </c>
      <c r="G65" s="4">
        <f t="shared" si="21"/>
        <v>363461.53846153844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131.68348503795039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70.958585457061673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91</v>
      </c>
    </row>
    <row r="74" spans="1:7" x14ac:dyDescent="0.25">
      <c r="A74" s="6" t="s">
        <v>76</v>
      </c>
      <c r="B74" s="12"/>
      <c r="C74" s="12"/>
    </row>
    <row r="76" spans="1:7" x14ac:dyDescent="0.25">
      <c r="A76" s="6" t="s">
        <v>132</v>
      </c>
    </row>
    <row r="78" spans="1:7" x14ac:dyDescent="0.25">
      <c r="A78" s="6" t="s">
        <v>37</v>
      </c>
    </row>
    <row r="79" spans="1:7" x14ac:dyDescent="0.25">
      <c r="A79" s="6" t="s">
        <v>66</v>
      </c>
    </row>
    <row r="80" spans="1:7" x14ac:dyDescent="0.25">
      <c r="A80" s="6" t="s">
        <v>128</v>
      </c>
    </row>
  </sheetData>
  <mergeCells count="4">
    <mergeCell ref="A4:A5"/>
    <mergeCell ref="B4:B5"/>
    <mergeCell ref="A2:G2"/>
    <mergeCell ref="C4:G4"/>
  </mergeCells>
  <hyperlinks>
    <hyperlink ref="G5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zoomScale="90" zoomScaleNormal="90" workbookViewId="0">
      <selection activeCell="A12" sqref="A12:XFD12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7" width="15" style="6" bestFit="1" customWidth="1"/>
    <col min="8" max="16384" width="11.42578125" style="6"/>
  </cols>
  <sheetData>
    <row r="2" spans="1:8" ht="15.75" x14ac:dyDescent="0.25">
      <c r="A2" s="47" t="s">
        <v>113</v>
      </c>
      <c r="B2" s="47"/>
      <c r="C2" s="47"/>
      <c r="D2" s="47"/>
      <c r="E2" s="47"/>
      <c r="F2" s="47"/>
      <c r="G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19" t="s">
        <v>126</v>
      </c>
      <c r="D5" s="22" t="s">
        <v>32</v>
      </c>
      <c r="E5" s="21" t="s">
        <v>2</v>
      </c>
      <c r="F5" s="22" t="s">
        <v>123</v>
      </c>
      <c r="G5" s="22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</row>
    <row r="10" spans="1:8" x14ac:dyDescent="0.25">
      <c r="A10" s="38" t="s">
        <v>49</v>
      </c>
      <c r="B10" s="35" t="e">
        <f>SUM(C10:G10)</f>
        <v>#DIV/0!</v>
      </c>
      <c r="C10" s="33" t="e">
        <f>AVERAGE('I Trimestre'!C10,'II Trimestre'!C10,'III Trimestre'!C10)</f>
        <v>#DIV/0!</v>
      </c>
      <c r="D10" s="33" t="e">
        <f>AVERAGE('I Trimestre'!D10,'II Trimestre'!D10,'III Trimestre'!D10)</f>
        <v>#DIV/0!</v>
      </c>
      <c r="E10" s="33" t="e">
        <f>AVERAGE('I Trimestre'!E10,'II Trimestre'!E10,'III Trimestre'!E10)</f>
        <v>#DIV/0!</v>
      </c>
      <c r="F10" s="33" t="e">
        <f>AVERAGE('I Trimestre'!F10,'II Trimestre'!F10,'III Trimestre'!F10)</f>
        <v>#DIV/0!</v>
      </c>
      <c r="G10" s="33" t="e">
        <f>AVERAGE('I Trimestre'!G10,'II Trimestre'!G10,'III Trimestre'!G10)</f>
        <v>#DIV/0!</v>
      </c>
      <c r="H10" s="31"/>
    </row>
    <row r="11" spans="1:8" x14ac:dyDescent="0.25">
      <c r="A11" s="38" t="s">
        <v>93</v>
      </c>
      <c r="B11" s="35">
        <f>SUM(C11:G11)</f>
        <v>87776.666666666672</v>
      </c>
      <c r="C11" s="33">
        <f>AVERAGE('I Trimestre'!C11,'II Trimestre'!C11,'III Trimestre'!C11)</f>
        <v>82510</v>
      </c>
      <c r="D11" s="33">
        <f>AVERAGE('I Trimestre'!D11,'II Trimestre'!D11,'III Trimestre'!D11)</f>
        <v>400</v>
      </c>
      <c r="E11" s="33">
        <f>AVERAGE('I Trimestre'!E11,'II Trimestre'!E11,'III Trimestre'!E11)</f>
        <v>2528</v>
      </c>
      <c r="F11" s="33">
        <f>AVERAGE('I Trimestre'!F11,'II Trimestre'!F11,'III Trimestre'!F11)</f>
        <v>2228.6666666666665</v>
      </c>
      <c r="G11" s="33">
        <f>AVERAGE('I Trimestre'!G11,'II Trimestre'!G11,'III Trimestre'!G11)</f>
        <v>110</v>
      </c>
    </row>
    <row r="12" spans="1:8" x14ac:dyDescent="0.25">
      <c r="A12" s="38" t="s">
        <v>94</v>
      </c>
      <c r="B12" s="35">
        <f>SUM(C12:G12)</f>
        <v>86015.111111111095</v>
      </c>
      <c r="C12" s="33">
        <f>AVERAGE('I Trimestre'!C12,'II Trimestre'!C12,'III Trimestre'!C12)</f>
        <v>82268.777777777766</v>
      </c>
      <c r="D12" s="33">
        <f>AVERAGE('I Trimestre'!D12,'II Trimestre'!D12,'III Trimestre'!D12)</f>
        <v>325.11111111111114</v>
      </c>
      <c r="E12" s="33">
        <f>AVERAGE('I Trimestre'!E12,'II Trimestre'!E12,'III Trimestre'!E12)</f>
        <v>2000</v>
      </c>
      <c r="F12" s="33">
        <f>AVERAGE('I Trimestre'!F12,'II Trimestre'!F12,'III Trimestre'!F12)</f>
        <v>1383.2222222222219</v>
      </c>
      <c r="G12" s="33">
        <f>AVERAGE('I Trimestre'!G12,'II Trimestre'!G12,'III Trimestre'!G12)</f>
        <v>38</v>
      </c>
    </row>
    <row r="13" spans="1:8" x14ac:dyDescent="0.25">
      <c r="A13" s="38" t="s">
        <v>79</v>
      </c>
      <c r="B13" s="35">
        <f>SUM(C13:G13)</f>
        <v>87810</v>
      </c>
      <c r="C13" s="33">
        <f>'III Trimestre'!C13</f>
        <v>82510</v>
      </c>
      <c r="D13" s="33">
        <f>'III Trimestre'!D13</f>
        <v>400</v>
      </c>
      <c r="E13" s="33">
        <f>'III Trimestre'!E13</f>
        <v>2528</v>
      </c>
      <c r="F13" s="33">
        <f>'III Trimestre'!F13</f>
        <v>2262</v>
      </c>
      <c r="G13" s="33">
        <f>'III Trimestre'!G13</f>
        <v>110</v>
      </c>
    </row>
    <row r="14" spans="1:8" x14ac:dyDescent="0.25">
      <c r="C14" s="9"/>
    </row>
    <row r="15" spans="1:8" x14ac:dyDescent="0.25">
      <c r="A15" s="5" t="s">
        <v>5</v>
      </c>
    </row>
    <row r="16" spans="1:8" x14ac:dyDescent="0.25">
      <c r="A16" s="38" t="s">
        <v>49</v>
      </c>
      <c r="B16" s="35" t="e">
        <f>SUM(C16:G16)</f>
        <v>#VALUE!</v>
      </c>
      <c r="C16" s="33" t="e">
        <f>'I Trimestre'!C16+'II Trimestre'!C16+'III Trimestre'!C16</f>
        <v>#VALUE!</v>
      </c>
      <c r="D16" s="33" t="e">
        <f>'I Trimestre'!D16+'II Trimestre'!D16+'III Trimestre'!D16</f>
        <v>#VALUE!</v>
      </c>
      <c r="E16" s="33" t="e">
        <f>'I Trimestre'!E16+'II Trimestre'!E16+'III Trimestre'!E16</f>
        <v>#VALUE!</v>
      </c>
      <c r="F16" s="33" t="e">
        <f>'I Trimestre'!F16+'II Trimestre'!F16+'III Trimestre'!F16</f>
        <v>#VALUE!</v>
      </c>
      <c r="G16" s="33" t="e">
        <f>'I Trimestre'!G16+'II Trimestre'!G16+'III Trimestre'!G16</f>
        <v>#VALUE!</v>
      </c>
      <c r="H16" s="31"/>
    </row>
    <row r="17" spans="1:8" x14ac:dyDescent="0.25">
      <c r="A17" s="38" t="s">
        <v>93</v>
      </c>
      <c r="B17" s="35">
        <f>SUM(C17:G17)</f>
        <v>15486070000</v>
      </c>
      <c r="C17" s="33">
        <f>'I Trimestre'!C17+'II Trimestre'!C17+'III Trimestre'!C17</f>
        <v>12624030000</v>
      </c>
      <c r="D17" s="33">
        <f>'I Trimestre'!D17+'II Trimestre'!D17+'III Trimestre'!D17</f>
        <v>288000000</v>
      </c>
      <c r="E17" s="33">
        <f>'I Trimestre'!E17+'II Trimestre'!E17+'III Trimestre'!E17</f>
        <v>910080000</v>
      </c>
      <c r="F17" s="33">
        <f>'I Trimestre'!F17+'II Trimestre'!F17+'III Trimestre'!F17</f>
        <v>1604560000</v>
      </c>
      <c r="G17" s="33">
        <f>'I Trimestre'!G17+'II Trimestre'!G17+'III Trimestre'!G17</f>
        <v>59400000</v>
      </c>
      <c r="H17" s="31"/>
    </row>
    <row r="18" spans="1:8" x14ac:dyDescent="0.25">
      <c r="A18" s="38" t="s">
        <v>94</v>
      </c>
      <c r="B18" s="35">
        <f>SUM(C18:G18)</f>
        <v>14550917000</v>
      </c>
      <c r="C18" s="33">
        <f>'I Trimestre'!C18+'II Trimestre'!C18+'III Trimestre'!C18</f>
        <v>12591747000</v>
      </c>
      <c r="D18" s="33">
        <f>'I Trimestre'!D18+'II Trimestre'!D18+'III Trimestre'!D18</f>
        <v>283730000</v>
      </c>
      <c r="E18" s="33">
        <f>'I Trimestre'!E18+'II Trimestre'!E18+'III Trimestre'!E18</f>
        <v>725360000</v>
      </c>
      <c r="F18" s="33">
        <f>'I Trimestre'!F18+'II Trimestre'!F18+'III Trimestre'!F18</f>
        <v>929440000</v>
      </c>
      <c r="G18" s="33">
        <f>'I Trimestre'!G18+'II Trimestre'!G18+'III Trimestre'!G18</f>
        <v>20640000</v>
      </c>
    </row>
    <row r="19" spans="1:8" x14ac:dyDescent="0.25">
      <c r="A19" s="38" t="s">
        <v>79</v>
      </c>
      <c r="B19" s="35">
        <f>SUM(C19:G19)</f>
        <v>20679880000</v>
      </c>
      <c r="C19" s="33">
        <f>'III Trimestre'!C19</f>
        <v>16832040000</v>
      </c>
      <c r="D19" s="33">
        <f>'III Trimestre'!D19</f>
        <v>384000000</v>
      </c>
      <c r="E19" s="33">
        <f>'III Trimestre'!E19</f>
        <v>1213440000</v>
      </c>
      <c r="F19" s="33">
        <f>'III Trimestre'!F19</f>
        <v>2171200000</v>
      </c>
      <c r="G19" s="33">
        <f>'III Trimestre'!G19</f>
        <v>79200000</v>
      </c>
    </row>
    <row r="20" spans="1:8" x14ac:dyDescent="0.25">
      <c r="A20" s="38" t="s">
        <v>95</v>
      </c>
      <c r="B20" s="35">
        <f>SUM(C20:G20)</f>
        <v>14550917000</v>
      </c>
      <c r="C20" s="33">
        <f>C18</f>
        <v>12591747000</v>
      </c>
      <c r="D20" s="33">
        <f t="shared" ref="D20:G20" si="0">D18</f>
        <v>283730000</v>
      </c>
      <c r="E20" s="33">
        <f t="shared" si="0"/>
        <v>725360000</v>
      </c>
      <c r="F20" s="33">
        <f t="shared" si="0"/>
        <v>929440000</v>
      </c>
      <c r="G20" s="33">
        <f t="shared" si="0"/>
        <v>20640000</v>
      </c>
    </row>
    <row r="21" spans="1:8" x14ac:dyDescent="0.25">
      <c r="B21" s="2"/>
      <c r="C21" s="2"/>
      <c r="D21" s="2"/>
    </row>
    <row r="22" spans="1:8" x14ac:dyDescent="0.25">
      <c r="A22" s="5" t="s">
        <v>6</v>
      </c>
      <c r="B22" s="2"/>
      <c r="C22" s="2"/>
      <c r="D22" s="2"/>
    </row>
    <row r="23" spans="1:8" x14ac:dyDescent="0.25">
      <c r="A23" s="3" t="s">
        <v>93</v>
      </c>
      <c r="B23" s="4">
        <f>B17</f>
        <v>15486070000</v>
      </c>
    </row>
    <row r="24" spans="1:8" x14ac:dyDescent="0.25">
      <c r="A24" s="3" t="s">
        <v>94</v>
      </c>
      <c r="B24" s="4">
        <f>+'I Trimestre'!B24+'II Trimestre'!B24+'III Trimestre'!B24</f>
        <v>16623912000</v>
      </c>
    </row>
    <row r="25" spans="1:8" x14ac:dyDescent="0.25">
      <c r="B25" s="4"/>
      <c r="C25" s="4"/>
      <c r="D25" s="4"/>
      <c r="E25" s="4"/>
      <c r="F25" s="4"/>
      <c r="G25" s="4"/>
    </row>
    <row r="26" spans="1:8" x14ac:dyDescent="0.25">
      <c r="A26" s="6" t="s">
        <v>7</v>
      </c>
      <c r="B26" s="4"/>
      <c r="C26" s="4"/>
      <c r="D26" s="4"/>
      <c r="E26" s="4"/>
      <c r="F26" s="4"/>
      <c r="G26" s="4"/>
    </row>
    <row r="27" spans="1:8" x14ac:dyDescent="0.25">
      <c r="A27" s="6" t="s">
        <v>50</v>
      </c>
      <c r="B27" s="20">
        <v>1.61</v>
      </c>
      <c r="C27" s="20">
        <v>1.61</v>
      </c>
      <c r="D27" s="20">
        <v>1.61</v>
      </c>
      <c r="E27" s="20">
        <v>1.61</v>
      </c>
      <c r="F27" s="20">
        <v>1.61</v>
      </c>
      <c r="G27" s="20">
        <v>1.61</v>
      </c>
    </row>
    <row r="28" spans="1:8" x14ac:dyDescent="0.25">
      <c r="A28" s="6" t="s">
        <v>96</v>
      </c>
      <c r="B28" s="6">
        <v>1.68</v>
      </c>
      <c r="C28" s="6">
        <v>1.68</v>
      </c>
      <c r="D28" s="6">
        <v>1.68</v>
      </c>
      <c r="E28" s="6">
        <v>1.68</v>
      </c>
      <c r="F28" s="6">
        <v>1.68</v>
      </c>
      <c r="G28" s="6">
        <v>1.68</v>
      </c>
    </row>
    <row r="29" spans="1:8" x14ac:dyDescent="0.25">
      <c r="A29" s="3" t="s">
        <v>8</v>
      </c>
      <c r="B29" s="15">
        <f>SUM(C29:E29)</f>
        <v>198424</v>
      </c>
      <c r="C29" s="17">
        <v>166758</v>
      </c>
      <c r="D29" s="15">
        <v>25691</v>
      </c>
      <c r="E29" s="13">
        <v>5975</v>
      </c>
      <c r="F29" s="15">
        <v>25691</v>
      </c>
      <c r="G29" s="15">
        <v>0</v>
      </c>
    </row>
    <row r="31" spans="1:8" x14ac:dyDescent="0.25">
      <c r="A31" s="6" t="s">
        <v>9</v>
      </c>
    </row>
    <row r="32" spans="1:8" x14ac:dyDescent="0.25">
      <c r="A32" s="6" t="s">
        <v>51</v>
      </c>
      <c r="B32" s="35" t="e">
        <f>B16/B27</f>
        <v>#VALUE!</v>
      </c>
      <c r="C32" s="35" t="e">
        <f t="shared" ref="C32:G32" si="1">C16/C27</f>
        <v>#VALUE!</v>
      </c>
      <c r="D32" s="35" t="e">
        <f t="shared" si="1"/>
        <v>#VALUE!</v>
      </c>
      <c r="E32" s="35" t="e">
        <f t="shared" si="1"/>
        <v>#VALUE!</v>
      </c>
      <c r="F32" s="35" t="e">
        <f t="shared" si="1"/>
        <v>#VALUE!</v>
      </c>
      <c r="G32" s="35" t="e">
        <f t="shared" si="1"/>
        <v>#VALUE!</v>
      </c>
      <c r="H32" s="31"/>
    </row>
    <row r="33" spans="1:7" x14ac:dyDescent="0.25">
      <c r="A33" s="6" t="s">
        <v>97</v>
      </c>
      <c r="B33" s="2">
        <f>B18/B28</f>
        <v>8661260119.0476189</v>
      </c>
      <c r="C33" s="2">
        <f t="shared" ref="C33:G33" si="2">C18/C28</f>
        <v>7495087500</v>
      </c>
      <c r="D33" s="2">
        <f t="shared" si="2"/>
        <v>168886904.76190478</v>
      </c>
      <c r="E33" s="2">
        <f t="shared" si="2"/>
        <v>431761904.76190478</v>
      </c>
      <c r="F33" s="2">
        <f t="shared" si="2"/>
        <v>553238095.23809528</v>
      </c>
      <c r="G33" s="2">
        <f t="shared" si="2"/>
        <v>12285714.285714285</v>
      </c>
    </row>
    <row r="34" spans="1:7" x14ac:dyDescent="0.25">
      <c r="A34" s="6" t="s">
        <v>52</v>
      </c>
      <c r="B34" s="2" t="e">
        <f t="shared" ref="B34:G34" si="3">B32/B10</f>
        <v>#VALUE!</v>
      </c>
      <c r="C34" s="2" t="e">
        <f t="shared" si="3"/>
        <v>#VALUE!</v>
      </c>
      <c r="D34" s="2" t="e">
        <f t="shared" si="3"/>
        <v>#VALUE!</v>
      </c>
      <c r="E34" s="2" t="e">
        <f t="shared" si="3"/>
        <v>#VALUE!</v>
      </c>
      <c r="F34" s="2" t="e">
        <f t="shared" si="3"/>
        <v>#VALUE!</v>
      </c>
      <c r="G34" s="2" t="e">
        <f t="shared" si="3"/>
        <v>#VALUE!</v>
      </c>
    </row>
    <row r="35" spans="1:7" x14ac:dyDescent="0.25">
      <c r="A35" s="6" t="s">
        <v>98</v>
      </c>
      <c r="B35" s="2">
        <f t="shared" ref="B35:G35" si="4">B33/B12</f>
        <v>100694.63385171157</v>
      </c>
      <c r="C35" s="2">
        <f t="shared" si="4"/>
        <v>91104.884531596312</v>
      </c>
      <c r="D35" s="2">
        <f t="shared" si="4"/>
        <v>519474.4165608827</v>
      </c>
      <c r="E35" s="2">
        <f t="shared" si="4"/>
        <v>215880.9523809524</v>
      </c>
      <c r="F35" s="2">
        <f t="shared" si="4"/>
        <v>399963.2787487235</v>
      </c>
      <c r="G35" s="2">
        <f t="shared" si="4"/>
        <v>323308.27067669173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6">
        <f>(B11/B29)*100</f>
        <v>44.236920265021709</v>
      </c>
      <c r="C40" s="16">
        <f t="shared" ref="C40:G40" si="5">(C11/C29)*100</f>
        <v>49.478885570707256</v>
      </c>
      <c r="D40" s="16">
        <f t="shared" si="5"/>
        <v>1.5569654742906076</v>
      </c>
      <c r="E40" s="16">
        <f t="shared" si="5"/>
        <v>42.309623430962347</v>
      </c>
      <c r="F40" s="16">
        <f t="shared" si="5"/>
        <v>8.6748926342558352</v>
      </c>
      <c r="G40" s="16" t="e">
        <f t="shared" si="5"/>
        <v>#DIV/0!</v>
      </c>
    </row>
    <row r="41" spans="1:7" x14ac:dyDescent="0.25">
      <c r="A41" s="6" t="s">
        <v>13</v>
      </c>
      <c r="B41" s="16">
        <f>(B12/B29)*100</f>
        <v>43.349146832596411</v>
      </c>
      <c r="C41" s="16">
        <f t="shared" ref="C41:G41" si="6">(C12/C29)*100</f>
        <v>49.334231507800382</v>
      </c>
      <c r="D41" s="16">
        <f t="shared" si="6"/>
        <v>1.265466938270644</v>
      </c>
      <c r="E41" s="16">
        <f t="shared" si="6"/>
        <v>33.472803347280333</v>
      </c>
      <c r="F41" s="16">
        <f t="shared" si="6"/>
        <v>5.3840731081788249</v>
      </c>
      <c r="G41" s="16" t="e">
        <f t="shared" si="6"/>
        <v>#DIV/0!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7">B12/B11*100</f>
        <v>97.993139153660152</v>
      </c>
      <c r="C44" s="4">
        <f t="shared" si="7"/>
        <v>99.707644864595522</v>
      </c>
      <c r="D44" s="4">
        <f t="shared" si="7"/>
        <v>81.277777777777786</v>
      </c>
      <c r="E44" s="4">
        <f t="shared" si="7"/>
        <v>79.113924050632917</v>
      </c>
      <c r="F44" s="4">
        <f t="shared" si="7"/>
        <v>62.065011466746419</v>
      </c>
      <c r="G44" s="4">
        <f t="shared" si="7"/>
        <v>34.545454545454547</v>
      </c>
    </row>
    <row r="45" spans="1:7" x14ac:dyDescent="0.25">
      <c r="A45" s="6" t="s">
        <v>16</v>
      </c>
      <c r="B45" s="4">
        <f t="shared" ref="B45:G45" si="8">B18/B17*100</f>
        <v>93.961327825587773</v>
      </c>
      <c r="C45" s="4">
        <f t="shared" si="8"/>
        <v>99.744273421403463</v>
      </c>
      <c r="D45" s="4">
        <f t="shared" si="8"/>
        <v>98.517361111111114</v>
      </c>
      <c r="E45" s="4">
        <f t="shared" si="8"/>
        <v>79.702883263009852</v>
      </c>
      <c r="F45" s="4">
        <f t="shared" si="8"/>
        <v>57.924913995113926</v>
      </c>
      <c r="G45" s="4">
        <f t="shared" si="8"/>
        <v>34.747474747474747</v>
      </c>
    </row>
    <row r="46" spans="1:7" x14ac:dyDescent="0.25">
      <c r="A46" s="6" t="s">
        <v>17</v>
      </c>
      <c r="B46" s="4">
        <f t="shared" ref="B46:G46" si="9">AVERAGE(B44:B45)</f>
        <v>95.977233489623956</v>
      </c>
      <c r="C46" s="4">
        <f t="shared" si="9"/>
        <v>99.7259591429995</v>
      </c>
      <c r="D46" s="4">
        <f t="shared" si="9"/>
        <v>89.897569444444457</v>
      </c>
      <c r="E46" s="4">
        <f t="shared" si="9"/>
        <v>79.408403656821378</v>
      </c>
      <c r="F46" s="4">
        <f t="shared" si="9"/>
        <v>59.994962730930169</v>
      </c>
      <c r="G46" s="4">
        <f t="shared" si="9"/>
        <v>34.646464646464651</v>
      </c>
    </row>
    <row r="47" spans="1:7" x14ac:dyDescent="0.25">
      <c r="B47" s="1"/>
      <c r="C47" s="1"/>
      <c r="D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0">B12/B13*100</f>
        <v>97.955940224474546</v>
      </c>
      <c r="C49" s="4">
        <f t="shared" si="10"/>
        <v>99.707644864595522</v>
      </c>
      <c r="D49" s="4">
        <f t="shared" si="10"/>
        <v>81.277777777777786</v>
      </c>
      <c r="E49" s="4">
        <f t="shared" si="10"/>
        <v>79.113924050632917</v>
      </c>
      <c r="F49" s="4">
        <f t="shared" si="10"/>
        <v>61.15040770213183</v>
      </c>
      <c r="G49" s="4">
        <f t="shared" si="10"/>
        <v>34.545454545454547</v>
      </c>
    </row>
    <row r="50" spans="1:8" x14ac:dyDescent="0.25">
      <c r="A50" s="6" t="s">
        <v>20</v>
      </c>
      <c r="B50" s="4">
        <f t="shared" ref="B50:G50" si="11">B18/B19*100</f>
        <v>70.36267618574189</v>
      </c>
      <c r="C50" s="4">
        <f t="shared" si="11"/>
        <v>74.808205066052608</v>
      </c>
      <c r="D50" s="4">
        <f t="shared" si="11"/>
        <v>73.888020833333329</v>
      </c>
      <c r="E50" s="4">
        <f t="shared" si="11"/>
        <v>59.777162447257382</v>
      </c>
      <c r="F50" s="4">
        <f t="shared" si="11"/>
        <v>42.807663964627857</v>
      </c>
      <c r="G50" s="4">
        <f t="shared" si="11"/>
        <v>26.060606060606062</v>
      </c>
    </row>
    <row r="51" spans="1:8" x14ac:dyDescent="0.25">
      <c r="A51" s="6" t="s">
        <v>21</v>
      </c>
      <c r="B51" s="4">
        <f t="shared" ref="B51:G51" si="12">(B49+B50)/2</f>
        <v>84.159308205108218</v>
      </c>
      <c r="C51" s="4">
        <f t="shared" si="12"/>
        <v>87.257924965324065</v>
      </c>
      <c r="D51" s="4">
        <f t="shared" si="12"/>
        <v>77.582899305555557</v>
      </c>
      <c r="E51" s="4">
        <f t="shared" si="12"/>
        <v>69.445543248945143</v>
      </c>
      <c r="F51" s="4">
        <f t="shared" si="12"/>
        <v>51.979035833379839</v>
      </c>
      <c r="G51" s="4">
        <f t="shared" si="12"/>
        <v>30.303030303030305</v>
      </c>
    </row>
    <row r="53" spans="1:8" x14ac:dyDescent="0.25">
      <c r="A53" s="6" t="s">
        <v>22</v>
      </c>
      <c r="B53" s="4">
        <f>B20/B18*100</f>
        <v>100</v>
      </c>
      <c r="C53" s="16">
        <f>C20/C18*100</f>
        <v>100</v>
      </c>
      <c r="D53" s="4">
        <f>D20/D18*100</f>
        <v>100</v>
      </c>
      <c r="E53" s="4">
        <f>E20/E18*100</f>
        <v>100</v>
      </c>
      <c r="F53" s="4">
        <f t="shared" ref="F53:G53" si="13">F20/F18*100</f>
        <v>100</v>
      </c>
      <c r="G53" s="4">
        <f t="shared" si="13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 t="e">
        <f t="shared" ref="B56:G56" si="14">((B12/B10)-1)*100</f>
        <v>#DIV/0!</v>
      </c>
      <c r="C56" s="41" t="e">
        <f t="shared" si="14"/>
        <v>#DIV/0!</v>
      </c>
      <c r="D56" s="32" t="e">
        <f t="shared" si="14"/>
        <v>#DIV/0!</v>
      </c>
      <c r="E56" s="32" t="e">
        <f t="shared" si="14"/>
        <v>#DIV/0!</v>
      </c>
      <c r="F56" s="32" t="e">
        <f t="shared" si="14"/>
        <v>#DIV/0!</v>
      </c>
      <c r="G56" s="32" t="e">
        <f t="shared" si="14"/>
        <v>#DIV/0!</v>
      </c>
      <c r="H56" s="31"/>
    </row>
    <row r="57" spans="1:8" x14ac:dyDescent="0.25">
      <c r="A57" s="6" t="s">
        <v>25</v>
      </c>
      <c r="B57" s="32" t="e">
        <f t="shared" ref="B57:G57" si="15">((B33/B32)-1)*100</f>
        <v>#VALUE!</v>
      </c>
      <c r="C57" s="41" t="e">
        <f t="shared" si="15"/>
        <v>#VALUE!</v>
      </c>
      <c r="D57" s="32" t="e">
        <f t="shared" si="15"/>
        <v>#VALUE!</v>
      </c>
      <c r="E57" s="32" t="e">
        <f t="shared" si="15"/>
        <v>#VALUE!</v>
      </c>
      <c r="F57" s="32" t="e">
        <f t="shared" si="15"/>
        <v>#VALUE!</v>
      </c>
      <c r="G57" s="32" t="e">
        <f t="shared" si="15"/>
        <v>#VALUE!</v>
      </c>
      <c r="H57" s="31"/>
    </row>
    <row r="58" spans="1:8" x14ac:dyDescent="0.25">
      <c r="A58" s="6" t="s">
        <v>26</v>
      </c>
      <c r="B58" s="32" t="e">
        <f t="shared" ref="B58:G58" si="16">((B35/B34)-1)*100</f>
        <v>#VALUE!</v>
      </c>
      <c r="C58" s="41" t="e">
        <f t="shared" si="16"/>
        <v>#VALUE!</v>
      </c>
      <c r="D58" s="32" t="e">
        <f t="shared" si="16"/>
        <v>#VALUE!</v>
      </c>
      <c r="E58" s="32" t="e">
        <f t="shared" si="16"/>
        <v>#VALUE!</v>
      </c>
      <c r="F58" s="32" t="e">
        <f t="shared" si="16"/>
        <v>#VALUE!</v>
      </c>
      <c r="G58" s="32" t="e">
        <f t="shared" si="16"/>
        <v>#VALUE!</v>
      </c>
      <c r="H58" s="31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>B17/(B11*9)</f>
        <v>19602.868390739124</v>
      </c>
      <c r="C61" s="4">
        <f t="shared" ref="C61:G61" si="17">C17/(C11*9)</f>
        <v>17000</v>
      </c>
      <c r="D61" s="4">
        <f t="shared" si="17"/>
        <v>80000</v>
      </c>
      <c r="E61" s="4">
        <f t="shared" si="17"/>
        <v>40000</v>
      </c>
      <c r="F61" s="4">
        <f t="shared" si="17"/>
        <v>79996.01156645728</v>
      </c>
      <c r="G61" s="4">
        <f t="shared" si="17"/>
        <v>60000</v>
      </c>
    </row>
    <row r="62" spans="1:8" x14ac:dyDescent="0.25">
      <c r="A62" s="6" t="s">
        <v>36</v>
      </c>
      <c r="B62" s="4">
        <f>B18/(B12*9)</f>
        <v>18796.331652319492</v>
      </c>
      <c r="C62" s="4">
        <f t="shared" ref="C62:G62" si="18">C18/(C12*9)</f>
        <v>17006.245112564644</v>
      </c>
      <c r="D62" s="4">
        <f t="shared" si="18"/>
        <v>96968.557758031428</v>
      </c>
      <c r="E62" s="4">
        <f t="shared" si="18"/>
        <v>40297.777777777781</v>
      </c>
      <c r="F62" s="4">
        <f t="shared" si="18"/>
        <v>74659.812033095033</v>
      </c>
      <c r="G62" s="4">
        <f t="shared" si="18"/>
        <v>60350.877192982458</v>
      </c>
    </row>
    <row r="63" spans="1:8" x14ac:dyDescent="0.25">
      <c r="A63" s="6" t="s">
        <v>28</v>
      </c>
      <c r="B63" s="4">
        <f t="shared" ref="B63:G63" si="19">(B61/B62)*B46</f>
        <v>100.09554584403</v>
      </c>
      <c r="C63" s="4">
        <f t="shared" si="19"/>
        <v>99.689337311646199</v>
      </c>
      <c r="D63" s="4">
        <f t="shared" si="19"/>
        <v>74.166366107057982</v>
      </c>
      <c r="E63" s="4">
        <f t="shared" si="19"/>
        <v>78.821620482121133</v>
      </c>
      <c r="F63" s="4">
        <f t="shared" si="19"/>
        <v>64.283013871307574</v>
      </c>
      <c r="G63" s="4">
        <f t="shared" si="19"/>
        <v>34.445031712473579</v>
      </c>
    </row>
    <row r="64" spans="1:8" x14ac:dyDescent="0.25">
      <c r="A64" s="6" t="s">
        <v>67</v>
      </c>
      <c r="B64" s="4">
        <f>B17/B11</f>
        <v>176425.8155166521</v>
      </c>
      <c r="C64" s="4">
        <f t="shared" ref="C64:G64" si="20">C17/C11</f>
        <v>153000</v>
      </c>
      <c r="D64" s="4">
        <f t="shared" si="20"/>
        <v>720000</v>
      </c>
      <c r="E64" s="4">
        <f t="shared" si="20"/>
        <v>360000</v>
      </c>
      <c r="F64" s="4">
        <f t="shared" si="20"/>
        <v>719964.10409811547</v>
      </c>
      <c r="G64" s="4">
        <f t="shared" si="20"/>
        <v>540000</v>
      </c>
    </row>
    <row r="65" spans="1:7" x14ac:dyDescent="0.25">
      <c r="A65" s="6" t="s">
        <v>68</v>
      </c>
      <c r="B65" s="4">
        <f>B18/B12</f>
        <v>169166.98487087543</v>
      </c>
      <c r="C65" s="4">
        <f t="shared" ref="C65:G65" si="21">C18/C12</f>
        <v>153056.2060130818</v>
      </c>
      <c r="D65" s="4">
        <f t="shared" si="21"/>
        <v>872717.01982228295</v>
      </c>
      <c r="E65" s="4">
        <f t="shared" si="21"/>
        <v>362680</v>
      </c>
      <c r="F65" s="4">
        <f t="shared" si="21"/>
        <v>671938.30829785543</v>
      </c>
      <c r="G65" s="4">
        <f t="shared" si="21"/>
        <v>543157.89473684214</v>
      </c>
    </row>
    <row r="66" spans="1:7" x14ac:dyDescent="0.25">
      <c r="B66" s="1"/>
      <c r="C66" s="1"/>
      <c r="D66" s="1"/>
    </row>
    <row r="67" spans="1:7" x14ac:dyDescent="0.25">
      <c r="A67" s="6" t="s">
        <v>29</v>
      </c>
      <c r="B67" s="1"/>
      <c r="C67" s="1"/>
      <c r="D67" s="1"/>
    </row>
    <row r="68" spans="1:7" x14ac:dyDescent="0.25">
      <c r="A68" s="6" t="s">
        <v>30</v>
      </c>
      <c r="B68" s="4">
        <f>(B24/B23)*100</f>
        <v>107.34751941583629</v>
      </c>
      <c r="C68" s="4"/>
      <c r="D68" s="4"/>
      <c r="E68" s="4"/>
      <c r="F68" s="4"/>
    </row>
    <row r="69" spans="1:7" x14ac:dyDescent="0.25">
      <c r="A69" s="6" t="s">
        <v>31</v>
      </c>
      <c r="B69" s="4">
        <f>(B18/B24)*100</f>
        <v>87.530041063740001</v>
      </c>
      <c r="C69" s="4"/>
      <c r="D69" s="4"/>
      <c r="E69" s="4"/>
      <c r="F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91</v>
      </c>
    </row>
    <row r="74" spans="1:7" x14ac:dyDescent="0.25">
      <c r="A74" s="6" t="s">
        <v>76</v>
      </c>
      <c r="B74" s="12"/>
      <c r="C74" s="12"/>
    </row>
    <row r="77" spans="1:7" x14ac:dyDescent="0.25">
      <c r="A77" s="6" t="s">
        <v>130</v>
      </c>
    </row>
    <row r="78" spans="1:7" x14ac:dyDescent="0.25">
      <c r="A78" s="6" t="s">
        <v>37</v>
      </c>
    </row>
    <row r="79" spans="1:7" x14ac:dyDescent="0.25">
      <c r="A79" s="6" t="s">
        <v>66</v>
      </c>
    </row>
    <row r="80" spans="1:7" x14ac:dyDescent="0.25">
      <c r="A80" s="6" t="s">
        <v>128</v>
      </c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4" zoomScale="90" zoomScaleNormal="90" workbookViewId="0">
      <selection activeCell="C3" sqref="C3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5" style="6" bestFit="1" customWidth="1"/>
    <col min="7" max="7" width="13.5703125" style="6" customWidth="1"/>
    <col min="8" max="16384" width="11.42578125" style="6"/>
  </cols>
  <sheetData>
    <row r="2" spans="1:8" ht="15.75" x14ac:dyDescent="0.25">
      <c r="A2" s="47" t="s">
        <v>114</v>
      </c>
      <c r="B2" s="47"/>
      <c r="C2" s="47"/>
      <c r="D2" s="47"/>
      <c r="E2" s="47"/>
      <c r="F2" s="47"/>
    </row>
    <row r="4" spans="1:8" x14ac:dyDescent="0.25">
      <c r="A4" s="43" t="s">
        <v>0</v>
      </c>
      <c r="B4" s="45" t="s">
        <v>1</v>
      </c>
      <c r="C4" s="48" t="s">
        <v>38</v>
      </c>
      <c r="D4" s="48"/>
      <c r="E4" s="48"/>
      <c r="F4" s="48"/>
      <c r="G4" s="48"/>
    </row>
    <row r="5" spans="1:8" ht="31.5" customHeight="1" thickBot="1" x14ac:dyDescent="0.3">
      <c r="A5" s="44"/>
      <c r="B5" s="46"/>
      <c r="C5" s="27" t="s">
        <v>126</v>
      </c>
      <c r="D5" s="22" t="s">
        <v>32</v>
      </c>
      <c r="E5" s="22" t="s">
        <v>2</v>
      </c>
      <c r="F5" s="22" t="s">
        <v>123</v>
      </c>
      <c r="G5" s="22" t="s">
        <v>40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</row>
    <row r="10" spans="1:8" x14ac:dyDescent="0.25">
      <c r="A10" s="3" t="s">
        <v>61</v>
      </c>
      <c r="B10" s="35">
        <f>C10+D10+E10+G10</f>
        <v>79638</v>
      </c>
      <c r="C10" s="33">
        <v>75322</v>
      </c>
      <c r="D10" s="33">
        <v>1855</v>
      </c>
      <c r="E10" s="33">
        <v>2406</v>
      </c>
      <c r="F10" s="33" t="e">
        <f>AVERAGE('I Trimestre'!G10,'II Trimestre'!G10,'III Trimestre'!G10,'IV Trimestre'!G10)</f>
        <v>#DIV/0!</v>
      </c>
      <c r="G10" s="33">
        <v>55</v>
      </c>
      <c r="H10" s="31"/>
    </row>
    <row r="11" spans="1:8" x14ac:dyDescent="0.25">
      <c r="A11" s="38" t="s">
        <v>115</v>
      </c>
      <c r="B11" s="2">
        <f>SUM(C11:G11)</f>
        <v>87849.5</v>
      </c>
      <c r="C11" s="33">
        <f>AVERAGE('I Trimestre'!C11,'II Trimestre'!C11,'III Trimestre'!C11,'IV Trimestre'!C11)</f>
        <v>82510</v>
      </c>
      <c r="D11" s="33">
        <f>AVERAGE('I Trimestre'!D11,'II Trimestre'!D11,'III Trimestre'!D11,'IV Trimestre'!D11)</f>
        <v>400</v>
      </c>
      <c r="E11" s="33">
        <f>AVERAGE('I Trimestre'!E11,'II Trimestre'!E11,'III Trimestre'!E11,'IV Trimestre'!E11)</f>
        <v>2528</v>
      </c>
      <c r="F11" s="33">
        <f>AVERAGE('I Trimestre'!F11,'II Trimestre'!F11,'III Trimestre'!F11,'IV Trimestre'!F11)</f>
        <v>2301.5</v>
      </c>
      <c r="G11" s="33">
        <f>AVERAGE('I Trimestre'!G11,'II Trimestre'!G11,'III Trimestre'!G11,'IV Trimestre'!G11)</f>
        <v>110</v>
      </c>
      <c r="H11" s="31"/>
    </row>
    <row r="12" spans="1:8" x14ac:dyDescent="0.25">
      <c r="A12" s="38" t="s">
        <v>116</v>
      </c>
      <c r="B12" s="2">
        <f>SUM(C12:G12)</f>
        <v>85944.749999999985</v>
      </c>
      <c r="C12" s="15">
        <f>AVERAGE('I Trimestre'!C12,'II Trimestre'!C12,'III Trimestre'!C12,'IV Trimestre'!C12)</f>
        <v>81991.833333333328</v>
      </c>
      <c r="D12" s="15">
        <f>AVERAGE('I Trimestre'!D12,'II Trimestre'!D12,'III Trimestre'!D12,'IV Trimestre'!D12)</f>
        <v>326.75000000000006</v>
      </c>
      <c r="E12" s="15">
        <f>AVERAGE('I Trimestre'!E12,'II Trimestre'!E12,'III Trimestre'!E12,'IV Trimestre'!E12)</f>
        <v>2130.0833333333335</v>
      </c>
      <c r="F12" s="15">
        <f>AVERAGE('I Trimestre'!F12,'II Trimestre'!F12,'III Trimestre'!F12,'IV Trimestre'!F12)</f>
        <v>1453.7499999999998</v>
      </c>
      <c r="G12" s="15">
        <f>AVERAGE('I Trimestre'!G12,'II Trimestre'!G12,'III Trimestre'!G12,'IV Trimestre'!G12)</f>
        <v>42.333333333333336</v>
      </c>
    </row>
    <row r="13" spans="1:8" x14ac:dyDescent="0.25">
      <c r="A13" s="38" t="s">
        <v>79</v>
      </c>
      <c r="B13" s="2">
        <f>SUM(C13:G13)</f>
        <v>87850</v>
      </c>
      <c r="C13" s="15">
        <f>'IV Trimestre'!C13</f>
        <v>82510</v>
      </c>
      <c r="D13" s="15">
        <f>'IV Trimestre'!D13</f>
        <v>400</v>
      </c>
      <c r="E13" s="15">
        <f>'IV Trimestre'!E13</f>
        <v>2528</v>
      </c>
      <c r="F13" s="15">
        <f>'IV Trimestre'!F13</f>
        <v>2302</v>
      </c>
      <c r="G13" s="15">
        <f>'IV Trimestre'!G13</f>
        <v>110</v>
      </c>
    </row>
    <row r="14" spans="1:8" x14ac:dyDescent="0.25">
      <c r="C14" s="9"/>
    </row>
    <row r="15" spans="1:8" x14ac:dyDescent="0.25">
      <c r="A15" s="5" t="s">
        <v>5</v>
      </c>
    </row>
    <row r="16" spans="1:8" x14ac:dyDescent="0.25">
      <c r="A16" s="3" t="s">
        <v>61</v>
      </c>
      <c r="B16" s="35">
        <f>C16+D16+E16+G16</f>
        <v>15320660000</v>
      </c>
      <c r="C16" s="33">
        <v>12541688000</v>
      </c>
      <c r="D16" s="33">
        <v>1593912000</v>
      </c>
      <c r="E16" s="33">
        <v>1146480000</v>
      </c>
      <c r="F16" s="33" t="e">
        <f>'I Trimestre'!G16+'II Trimestre'!G16+'III Trimestre'!G16+'IV Trimestre'!G16</f>
        <v>#VALUE!</v>
      </c>
      <c r="G16" s="33">
        <v>38580000</v>
      </c>
      <c r="H16" s="31"/>
    </row>
    <row r="17" spans="1:8" x14ac:dyDescent="0.25">
      <c r="A17" s="38" t="s">
        <v>115</v>
      </c>
      <c r="B17" s="2">
        <f>SUM(C17:G17)</f>
        <v>20718120000</v>
      </c>
      <c r="C17" s="15">
        <f>'I Trimestre'!C17+'II Trimestre'!C17+'III Trimestre'!C17+'IV Trimestre'!C17</f>
        <v>16832040000</v>
      </c>
      <c r="D17" s="15">
        <f>'I Trimestre'!D17+'II Trimestre'!D17+'III Trimestre'!D17+'IV Trimestre'!D17</f>
        <v>384000000</v>
      </c>
      <c r="E17" s="15">
        <f>'I Trimestre'!E17+'II Trimestre'!E17+'III Trimestre'!E17+'IV Trimestre'!E17</f>
        <v>1213440000</v>
      </c>
      <c r="F17" s="15">
        <f>'I Trimestre'!F17+'II Trimestre'!F17+'III Trimestre'!F17+'IV Trimestre'!F17</f>
        <v>2209440000</v>
      </c>
      <c r="G17" s="15">
        <f>'I Trimestre'!G17+'II Trimestre'!G17+'III Trimestre'!G17+'IV Trimestre'!G17</f>
        <v>79200000</v>
      </c>
    </row>
    <row r="18" spans="1:8" x14ac:dyDescent="0.25">
      <c r="A18" s="38" t="s">
        <v>116</v>
      </c>
      <c r="B18" s="2">
        <f>SUM(C18:G18)</f>
        <v>19450428000</v>
      </c>
      <c r="C18" s="15">
        <f>'I Trimestre'!C18+'II Trimestre'!C18+'III Trimestre'!C18+'IV Trimestre'!C18</f>
        <v>16730958000</v>
      </c>
      <c r="D18" s="15">
        <f>'I Trimestre'!D18+'II Trimestre'!D18+'III Trimestre'!D18+'IV Trimestre'!D18</f>
        <v>359880000</v>
      </c>
      <c r="E18" s="15">
        <f>'I Trimestre'!E18+'II Trimestre'!E18+'III Trimestre'!E18+'IV Trimestre'!E18</f>
        <v>1027800000</v>
      </c>
      <c r="F18" s="15">
        <f>'I Trimestre'!F18+'II Trimestre'!F18+'III Trimestre'!F18+'IV Trimestre'!F18</f>
        <v>1301190000</v>
      </c>
      <c r="G18" s="15">
        <f>'I Trimestre'!G18+'II Trimestre'!G18+'III Trimestre'!G18+'IV Trimestre'!G18</f>
        <v>30600000</v>
      </c>
    </row>
    <row r="19" spans="1:8" x14ac:dyDescent="0.25">
      <c r="A19" s="38" t="s">
        <v>79</v>
      </c>
      <c r="B19" s="2">
        <f>SUM(C19:G19)</f>
        <v>20718120000</v>
      </c>
      <c r="C19" s="33">
        <f>'IV Trimestre'!C19</f>
        <v>16832040000</v>
      </c>
      <c r="D19" s="33">
        <f>'IV Trimestre'!D19</f>
        <v>384000000</v>
      </c>
      <c r="E19" s="33">
        <f>'IV Trimestre'!E19</f>
        <v>1213440000</v>
      </c>
      <c r="F19" s="33">
        <f>'IV Trimestre'!F19</f>
        <v>2209440000</v>
      </c>
      <c r="G19" s="33">
        <f>'IV Trimestre'!G19</f>
        <v>79200000</v>
      </c>
      <c r="H19" s="31"/>
    </row>
    <row r="20" spans="1:8" x14ac:dyDescent="0.25">
      <c r="A20" s="38" t="s">
        <v>117</v>
      </c>
      <c r="B20" s="2">
        <f>SUM(C20:G20)</f>
        <v>19450428000</v>
      </c>
      <c r="C20" s="15">
        <f>C18</f>
        <v>16730958000</v>
      </c>
      <c r="D20" s="15">
        <f t="shared" ref="D20:G20" si="0">D18</f>
        <v>359880000</v>
      </c>
      <c r="E20" s="15">
        <f t="shared" si="0"/>
        <v>1027800000</v>
      </c>
      <c r="F20" s="15">
        <f t="shared" si="0"/>
        <v>1301190000</v>
      </c>
      <c r="G20" s="15">
        <f t="shared" si="0"/>
        <v>30600000</v>
      </c>
    </row>
    <row r="21" spans="1:8" x14ac:dyDescent="0.25">
      <c r="B21" s="2"/>
      <c r="C21" s="2"/>
      <c r="D21" s="2"/>
      <c r="E21" s="2"/>
      <c r="F21" s="2"/>
    </row>
    <row r="22" spans="1:8" x14ac:dyDescent="0.25">
      <c r="A22" s="5" t="s">
        <v>6</v>
      </c>
      <c r="B22" s="2"/>
      <c r="C22" s="2"/>
      <c r="D22" s="2"/>
      <c r="E22" s="2"/>
      <c r="F22" s="2"/>
    </row>
    <row r="23" spans="1:8" x14ac:dyDescent="0.25">
      <c r="A23" s="3" t="s">
        <v>115</v>
      </c>
      <c r="B23" s="2">
        <f>B17</f>
        <v>20718120000</v>
      </c>
      <c r="C23" s="2"/>
      <c r="D23" s="2"/>
      <c r="E23" s="2"/>
      <c r="F23" s="2"/>
    </row>
    <row r="24" spans="1:8" x14ac:dyDescent="0.25">
      <c r="A24" s="3" t="s">
        <v>116</v>
      </c>
      <c r="B24" s="2">
        <f>+'I Trimestre'!B24+'II Trimestre'!B24+'III Trimestre'!B24+'IV Trimestre'!B24</f>
        <v>20480475673.43</v>
      </c>
      <c r="C24" s="2"/>
      <c r="D24" s="2"/>
      <c r="E24" s="2"/>
      <c r="F24" s="2"/>
    </row>
    <row r="26" spans="1:8" x14ac:dyDescent="0.25">
      <c r="A26" s="6" t="s">
        <v>7</v>
      </c>
    </row>
    <row r="27" spans="1:8" x14ac:dyDescent="0.25">
      <c r="A27" s="6" t="s">
        <v>62</v>
      </c>
      <c r="B27" s="9">
        <v>1.61</v>
      </c>
      <c r="C27" s="9">
        <v>1.61</v>
      </c>
      <c r="D27" s="9">
        <v>1.61</v>
      </c>
      <c r="E27" s="9">
        <v>1.61</v>
      </c>
      <c r="F27" s="9">
        <v>1.61</v>
      </c>
      <c r="G27" s="9">
        <v>1.61</v>
      </c>
    </row>
    <row r="28" spans="1:8" x14ac:dyDescent="0.25">
      <c r="A28" s="6" t="s">
        <v>118</v>
      </c>
      <c r="B28" s="6">
        <v>1.69</v>
      </c>
      <c r="C28" s="6">
        <v>1.69</v>
      </c>
      <c r="D28" s="6">
        <v>1.69</v>
      </c>
      <c r="E28" s="6">
        <v>1.69</v>
      </c>
      <c r="F28" s="6">
        <v>1.69</v>
      </c>
      <c r="G28" s="6">
        <v>1.69</v>
      </c>
    </row>
    <row r="29" spans="1:8" x14ac:dyDescent="0.25">
      <c r="A29" s="3" t="s">
        <v>8</v>
      </c>
      <c r="B29" s="15">
        <f>SUM(C29:E29)</f>
        <v>198424</v>
      </c>
      <c r="C29" s="17">
        <v>166758</v>
      </c>
      <c r="D29" s="15">
        <v>25691</v>
      </c>
      <c r="E29" s="13">
        <v>5975</v>
      </c>
      <c r="F29" s="15">
        <v>25691</v>
      </c>
      <c r="G29" s="15">
        <v>0</v>
      </c>
    </row>
    <row r="31" spans="1:8" x14ac:dyDescent="0.25">
      <c r="A31" s="6" t="s">
        <v>9</v>
      </c>
    </row>
    <row r="32" spans="1:8" x14ac:dyDescent="0.25">
      <c r="A32" s="6" t="s">
        <v>63</v>
      </c>
      <c r="B32" s="35">
        <f t="shared" ref="B32:G32" si="1">B16/B27</f>
        <v>9515937888.1987572</v>
      </c>
      <c r="C32" s="35">
        <f t="shared" si="1"/>
        <v>7789868322.9813662</v>
      </c>
      <c r="D32" s="35">
        <f t="shared" si="1"/>
        <v>990007453.41614902</v>
      </c>
      <c r="E32" s="35">
        <f t="shared" si="1"/>
        <v>712099378.88198757</v>
      </c>
      <c r="F32" s="35" t="e">
        <f t="shared" si="1"/>
        <v>#VALUE!</v>
      </c>
      <c r="G32" s="35">
        <f t="shared" si="1"/>
        <v>23962732.919254657</v>
      </c>
      <c r="H32" s="31"/>
    </row>
    <row r="33" spans="1:7" x14ac:dyDescent="0.25">
      <c r="A33" s="6" t="s">
        <v>119</v>
      </c>
      <c r="B33" s="2">
        <f t="shared" ref="B33:G33" si="2">B18/B28</f>
        <v>11509128994.08284</v>
      </c>
      <c r="C33" s="2">
        <f t="shared" si="2"/>
        <v>9899975147.9289951</v>
      </c>
      <c r="D33" s="2">
        <f t="shared" si="2"/>
        <v>212946745.56213018</v>
      </c>
      <c r="E33" s="2">
        <f t="shared" si="2"/>
        <v>608165680.47337282</v>
      </c>
      <c r="F33" s="2">
        <f t="shared" si="2"/>
        <v>769934911.24260354</v>
      </c>
      <c r="G33" s="2">
        <f t="shared" si="2"/>
        <v>18106508.875739645</v>
      </c>
    </row>
    <row r="34" spans="1:7" x14ac:dyDescent="0.25">
      <c r="A34" s="6" t="s">
        <v>64</v>
      </c>
      <c r="B34" s="2">
        <f t="shared" ref="B34:F34" si="3">B32/B10</f>
        <v>119489.91546998615</v>
      </c>
      <c r="C34" s="15">
        <f t="shared" si="3"/>
        <v>103420.89061604002</v>
      </c>
      <c r="D34" s="2">
        <f t="shared" si="3"/>
        <v>533696.74038606416</v>
      </c>
      <c r="E34" s="2">
        <f t="shared" si="3"/>
        <v>295968.15414878953</v>
      </c>
      <c r="F34" s="2" t="e">
        <f t="shared" si="3"/>
        <v>#VALUE!</v>
      </c>
      <c r="G34" s="2">
        <f t="shared" ref="G34" si="4">G32/G10</f>
        <v>435686.05307735741</v>
      </c>
    </row>
    <row r="35" spans="1:7" x14ac:dyDescent="0.25">
      <c r="A35" s="6" t="s">
        <v>120</v>
      </c>
      <c r="B35" s="2">
        <f t="shared" ref="B35:G35" si="5">B33/B12</f>
        <v>133913.11271581851</v>
      </c>
      <c r="C35" s="2">
        <f t="shared" si="5"/>
        <v>120743.42950329195</v>
      </c>
      <c r="D35" s="2">
        <f t="shared" si="5"/>
        <v>651711.53959335934</v>
      </c>
      <c r="E35" s="2">
        <f t="shared" si="5"/>
        <v>285512.62335904205</v>
      </c>
      <c r="F35" s="2">
        <f t="shared" si="5"/>
        <v>529619.88735518744</v>
      </c>
      <c r="G35" s="2">
        <f t="shared" si="5"/>
        <v>427712.80808833806</v>
      </c>
    </row>
    <row r="37" spans="1:7" x14ac:dyDescent="0.25">
      <c r="A37" s="8" t="s">
        <v>10</v>
      </c>
    </row>
    <row r="39" spans="1:7" x14ac:dyDescent="0.25">
      <c r="A39" s="6" t="s">
        <v>11</v>
      </c>
    </row>
    <row r="40" spans="1:7" x14ac:dyDescent="0.25">
      <c r="A40" s="6" t="s">
        <v>12</v>
      </c>
      <c r="B40" s="16">
        <f>(B11/B29)*100</f>
        <v>44.273626174253117</v>
      </c>
      <c r="C40" s="16">
        <f t="shared" ref="C40:G40" si="6">(C11/C29)*100</f>
        <v>49.478885570707256</v>
      </c>
      <c r="D40" s="16">
        <f t="shared" si="6"/>
        <v>1.5569654742906076</v>
      </c>
      <c r="E40" s="16">
        <f t="shared" si="6"/>
        <v>42.309623430962347</v>
      </c>
      <c r="F40" s="16">
        <f t="shared" si="6"/>
        <v>8.9583900976995832</v>
      </c>
      <c r="G40" s="16" t="e">
        <f t="shared" si="6"/>
        <v>#DIV/0!</v>
      </c>
    </row>
    <row r="41" spans="1:7" x14ac:dyDescent="0.25">
      <c r="A41" s="6" t="s">
        <v>13</v>
      </c>
      <c r="B41" s="16">
        <f>(B12/B29)*100</f>
        <v>43.313686852396884</v>
      </c>
      <c r="C41" s="16">
        <f t="shared" ref="C41:G41" si="7">(C12/C29)*100</f>
        <v>49.16815585059387</v>
      </c>
      <c r="D41" s="16">
        <f t="shared" si="7"/>
        <v>1.2718461718111402</v>
      </c>
      <c r="E41" s="16">
        <f t="shared" si="7"/>
        <v>35.649930264993031</v>
      </c>
      <c r="F41" s="16">
        <f t="shared" si="7"/>
        <v>5.6585963956249259</v>
      </c>
      <c r="G41" s="16" t="e">
        <f t="shared" si="7"/>
        <v>#DIV/0!</v>
      </c>
    </row>
    <row r="43" spans="1:7" x14ac:dyDescent="0.25">
      <c r="A43" s="6" t="s">
        <v>14</v>
      </c>
    </row>
    <row r="44" spans="1:7" x14ac:dyDescent="0.25">
      <c r="A44" s="6" t="s">
        <v>15</v>
      </c>
      <c r="B44" s="4">
        <f t="shared" ref="B44:G44" si="8">B12/B11*100</f>
        <v>97.831803254429445</v>
      </c>
      <c r="C44" s="4">
        <f t="shared" si="8"/>
        <v>99.371995313699344</v>
      </c>
      <c r="D44" s="4">
        <f t="shared" si="8"/>
        <v>81.687500000000014</v>
      </c>
      <c r="E44" s="4">
        <f t="shared" si="8"/>
        <v>84.259625527426167</v>
      </c>
      <c r="F44" s="4">
        <f t="shared" si="8"/>
        <v>63.165326960677803</v>
      </c>
      <c r="G44" s="4">
        <f t="shared" si="8"/>
        <v>38.484848484848492</v>
      </c>
    </row>
    <row r="45" spans="1:7" x14ac:dyDescent="0.25">
      <c r="A45" s="6" t="s">
        <v>16</v>
      </c>
      <c r="B45" s="4">
        <f t="shared" ref="B45:G45" si="9">B18/B17*100</f>
        <v>93.881240189746947</v>
      </c>
      <c r="C45" s="4">
        <f t="shared" si="9"/>
        <v>99.399466731305296</v>
      </c>
      <c r="D45" s="4">
        <f t="shared" si="9"/>
        <v>93.71875</v>
      </c>
      <c r="E45" s="4">
        <f t="shared" si="9"/>
        <v>84.70134493670885</v>
      </c>
      <c r="F45" s="4">
        <f t="shared" si="9"/>
        <v>58.892298500977624</v>
      </c>
      <c r="G45" s="4">
        <f t="shared" si="9"/>
        <v>38.636363636363633</v>
      </c>
    </row>
    <row r="46" spans="1:7" x14ac:dyDescent="0.25">
      <c r="A46" s="6" t="s">
        <v>17</v>
      </c>
      <c r="B46" s="4">
        <f t="shared" ref="B46:G46" si="10">AVERAGE(B44:B45)</f>
        <v>95.856521722088189</v>
      </c>
      <c r="C46" s="4">
        <f t="shared" si="10"/>
        <v>99.385731022502313</v>
      </c>
      <c r="D46" s="4">
        <f t="shared" si="10"/>
        <v>87.703125</v>
      </c>
      <c r="E46" s="4">
        <f t="shared" si="10"/>
        <v>84.480485232067508</v>
      </c>
      <c r="F46" s="4">
        <f t="shared" si="10"/>
        <v>61.02881273082771</v>
      </c>
      <c r="G46" s="4">
        <f t="shared" si="10"/>
        <v>38.560606060606062</v>
      </c>
    </row>
    <row r="47" spans="1:7" x14ac:dyDescent="0.25">
      <c r="B47" s="1"/>
      <c r="C47" s="1"/>
    </row>
    <row r="48" spans="1:7" x14ac:dyDescent="0.25">
      <c r="A48" s="6" t="s">
        <v>18</v>
      </c>
    </row>
    <row r="49" spans="1:8" x14ac:dyDescent="0.25">
      <c r="A49" s="6" t="s">
        <v>19</v>
      </c>
      <c r="B49" s="4">
        <f t="shared" ref="B49:G49" si="11">B12/B13*100</f>
        <v>97.831246442800207</v>
      </c>
      <c r="C49" s="4">
        <f t="shared" si="11"/>
        <v>99.371995313699344</v>
      </c>
      <c r="D49" s="4">
        <f t="shared" si="11"/>
        <v>81.687500000000014</v>
      </c>
      <c r="E49" s="4">
        <f t="shared" si="11"/>
        <v>84.259625527426167</v>
      </c>
      <c r="F49" s="4">
        <f t="shared" si="11"/>
        <v>63.151607298001736</v>
      </c>
      <c r="G49" s="4">
        <f t="shared" si="11"/>
        <v>38.484848484848492</v>
      </c>
    </row>
    <row r="50" spans="1:8" x14ac:dyDescent="0.25">
      <c r="A50" s="6" t="s">
        <v>20</v>
      </c>
      <c r="B50" s="4">
        <f t="shared" ref="B50:G50" si="12">B18/B19*100</f>
        <v>93.881240189746947</v>
      </c>
      <c r="C50" s="4">
        <f t="shared" si="12"/>
        <v>99.399466731305296</v>
      </c>
      <c r="D50" s="4">
        <f t="shared" si="12"/>
        <v>93.71875</v>
      </c>
      <c r="E50" s="4">
        <f t="shared" si="12"/>
        <v>84.70134493670885</v>
      </c>
      <c r="F50" s="4">
        <f t="shared" si="12"/>
        <v>58.892298500977624</v>
      </c>
      <c r="G50" s="4">
        <f t="shared" si="12"/>
        <v>38.636363636363633</v>
      </c>
      <c r="H50" s="4"/>
    </row>
    <row r="51" spans="1:8" x14ac:dyDescent="0.25">
      <c r="A51" s="6" t="s">
        <v>21</v>
      </c>
      <c r="B51" s="4">
        <f t="shared" ref="B51:G51" si="13">(B49+B50)/2</f>
        <v>95.856243316273577</v>
      </c>
      <c r="C51" s="4">
        <f t="shared" si="13"/>
        <v>99.385731022502313</v>
      </c>
      <c r="D51" s="4">
        <f t="shared" si="13"/>
        <v>87.703125</v>
      </c>
      <c r="E51" s="4">
        <f t="shared" si="13"/>
        <v>84.480485232067508</v>
      </c>
      <c r="F51" s="4">
        <f t="shared" si="13"/>
        <v>61.021952899489676</v>
      </c>
      <c r="G51" s="4">
        <f t="shared" si="13"/>
        <v>38.560606060606062</v>
      </c>
    </row>
    <row r="53" spans="1:8" x14ac:dyDescent="0.25">
      <c r="A53" s="6" t="s">
        <v>22</v>
      </c>
      <c r="B53" s="4">
        <f>B20/B18*100</f>
        <v>100</v>
      </c>
      <c r="C53" s="4">
        <f t="shared" ref="C53:G53" si="14">C20/C18*100</f>
        <v>100</v>
      </c>
      <c r="D53" s="4">
        <f t="shared" si="14"/>
        <v>100</v>
      </c>
      <c r="E53" s="4">
        <f t="shared" si="14"/>
        <v>100</v>
      </c>
      <c r="F53" s="4">
        <f t="shared" si="14"/>
        <v>100</v>
      </c>
      <c r="G53" s="4">
        <f t="shared" si="14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2">
        <f t="shared" ref="B56:G56" si="15">((B12/B10)-1)*100</f>
        <v>7.9192722067354504</v>
      </c>
      <c r="C56" s="32">
        <f t="shared" si="15"/>
        <v>8.8550932441163752</v>
      </c>
      <c r="D56" s="32">
        <f t="shared" si="15"/>
        <v>-82.385444743935309</v>
      </c>
      <c r="E56" s="32">
        <f t="shared" si="15"/>
        <v>-11.467858132446651</v>
      </c>
      <c r="F56" s="32" t="e">
        <f t="shared" si="15"/>
        <v>#DIV/0!</v>
      </c>
      <c r="G56" s="32">
        <f t="shared" si="15"/>
        <v>-23.030303030303024</v>
      </c>
      <c r="H56" s="31"/>
    </row>
    <row r="57" spans="1:8" x14ac:dyDescent="0.25">
      <c r="A57" s="6" t="s">
        <v>25</v>
      </c>
      <c r="B57" s="32">
        <f t="shared" ref="B57:G57" si="16">((B33/B32)-1)*100</f>
        <v>20.945818786353687</v>
      </c>
      <c r="C57" s="32">
        <f t="shared" si="16"/>
        <v>27.087836885797856</v>
      </c>
      <c r="D57" s="32">
        <f t="shared" si="16"/>
        <v>-78.490389660468736</v>
      </c>
      <c r="E57" s="32">
        <f t="shared" si="16"/>
        <v>-14.59539236950228</v>
      </c>
      <c r="F57" s="32" t="e">
        <f t="shared" si="16"/>
        <v>#VALUE!</v>
      </c>
      <c r="G57" s="32">
        <f t="shared" si="16"/>
        <v>-24.438882089318735</v>
      </c>
      <c r="H57" s="31"/>
    </row>
    <row r="58" spans="1:8" x14ac:dyDescent="0.25">
      <c r="A58" s="6" t="s">
        <v>26</v>
      </c>
      <c r="B58" s="32">
        <f t="shared" ref="B58:G58" si="17">((B35/B34)-1)*100</f>
        <v>12.070639759934565</v>
      </c>
      <c r="C58" s="32">
        <f t="shared" si="17"/>
        <v>16.749554934276787</v>
      </c>
      <c r="D58" s="32">
        <f t="shared" si="17"/>
        <v>22.112707512870688</v>
      </c>
      <c r="E58" s="32">
        <f t="shared" si="17"/>
        <v>-3.5326539842834848</v>
      </c>
      <c r="F58" s="32" t="e">
        <f t="shared" si="17"/>
        <v>#VALUE!</v>
      </c>
      <c r="G58" s="32">
        <f t="shared" si="17"/>
        <v>-1.8300436593511216</v>
      </c>
      <c r="H58" s="31"/>
    </row>
    <row r="59" spans="1:8" x14ac:dyDescent="0.25">
      <c r="B59" s="1"/>
      <c r="C59" s="1"/>
    </row>
    <row r="60" spans="1:8" x14ac:dyDescent="0.25">
      <c r="A60" s="6" t="s">
        <v>27</v>
      </c>
    </row>
    <row r="61" spans="1:8" x14ac:dyDescent="0.25">
      <c r="A61" s="6" t="s">
        <v>35</v>
      </c>
      <c r="B61" s="4">
        <f>B17/(B11*12)</f>
        <v>19653.042988292476</v>
      </c>
      <c r="C61" s="4">
        <f t="shared" ref="C61:G61" si="18">C17/(C11*12)</f>
        <v>17000</v>
      </c>
      <c r="D61" s="4">
        <f t="shared" si="18"/>
        <v>80000</v>
      </c>
      <c r="E61" s="4">
        <f t="shared" si="18"/>
        <v>40000</v>
      </c>
      <c r="F61" s="4">
        <f t="shared" si="18"/>
        <v>80000</v>
      </c>
      <c r="G61" s="4">
        <f t="shared" si="18"/>
        <v>60000</v>
      </c>
    </row>
    <row r="62" spans="1:8" x14ac:dyDescent="0.25">
      <c r="A62" s="6" t="s">
        <v>36</v>
      </c>
      <c r="B62" s="4">
        <f>B18/(B12*12)</f>
        <v>18859.430040811108</v>
      </c>
      <c r="C62" s="4">
        <f t="shared" ref="C62:G62" si="19">C18/(C12*12)</f>
        <v>17004.699655046945</v>
      </c>
      <c r="D62" s="4">
        <f t="shared" si="19"/>
        <v>91782.708492731428</v>
      </c>
      <c r="E62" s="4">
        <f t="shared" si="19"/>
        <v>40209.694456398422</v>
      </c>
      <c r="F62" s="4">
        <f t="shared" si="19"/>
        <v>74588.134135855566</v>
      </c>
      <c r="G62" s="4">
        <f t="shared" si="19"/>
        <v>60236.220472440946</v>
      </c>
    </row>
    <row r="63" spans="1:8" x14ac:dyDescent="0.25">
      <c r="A63" s="6" t="s">
        <v>28</v>
      </c>
      <c r="B63" s="4">
        <f t="shared" ref="B63:G63" si="20">(B61/B62)*B46</f>
        <v>99.890205485306865</v>
      </c>
      <c r="C63" s="4">
        <f t="shared" si="20"/>
        <v>99.358263401087683</v>
      </c>
      <c r="D63" s="4">
        <f t="shared" si="20"/>
        <v>76.444137629209749</v>
      </c>
      <c r="E63" s="4">
        <f t="shared" si="20"/>
        <v>84.039917611086878</v>
      </c>
      <c r="F63" s="4">
        <f t="shared" si="20"/>
        <v>65.456859526389792</v>
      </c>
      <c r="G63" s="4">
        <f t="shared" si="20"/>
        <v>38.409387997623291</v>
      </c>
    </row>
    <row r="64" spans="1:8" x14ac:dyDescent="0.25">
      <c r="A64" s="6" t="s">
        <v>73</v>
      </c>
      <c r="B64" s="4">
        <f>B17/B11</f>
        <v>235836.51585950973</v>
      </c>
      <c r="C64" s="4">
        <f t="shared" ref="C64:G64" si="21">C17/C11</f>
        <v>204000</v>
      </c>
      <c r="D64" s="4">
        <f t="shared" si="21"/>
        <v>960000</v>
      </c>
      <c r="E64" s="4">
        <f t="shared" si="21"/>
        <v>480000</v>
      </c>
      <c r="F64" s="4">
        <f t="shared" si="21"/>
        <v>960000</v>
      </c>
      <c r="G64" s="4">
        <f t="shared" si="21"/>
        <v>720000</v>
      </c>
    </row>
    <row r="65" spans="1:7" x14ac:dyDescent="0.25">
      <c r="A65" s="6" t="s">
        <v>74</v>
      </c>
      <c r="B65" s="4">
        <f>B18/B12</f>
        <v>226313.16048973327</v>
      </c>
      <c r="C65" s="4">
        <f t="shared" ref="C65:G65" si="22">C18/C12</f>
        <v>204056.39586056335</v>
      </c>
      <c r="D65" s="4">
        <f t="shared" si="22"/>
        <v>1101392.5019127771</v>
      </c>
      <c r="E65" s="4">
        <f t="shared" si="22"/>
        <v>482516.33347678097</v>
      </c>
      <c r="F65" s="4">
        <f t="shared" si="22"/>
        <v>895057.60963026667</v>
      </c>
      <c r="G65" s="4">
        <f t="shared" si="22"/>
        <v>722834.64566929126</v>
      </c>
    </row>
    <row r="66" spans="1:7" x14ac:dyDescent="0.25">
      <c r="B66" s="1"/>
      <c r="C66" s="1"/>
    </row>
    <row r="67" spans="1:7" x14ac:dyDescent="0.25">
      <c r="A67" s="6" t="s">
        <v>29</v>
      </c>
      <c r="B67" s="1"/>
      <c r="C67" s="1"/>
    </row>
    <row r="68" spans="1:7" x14ac:dyDescent="0.25">
      <c r="A68" s="6" t="s">
        <v>30</v>
      </c>
      <c r="B68" s="4">
        <f>(B24/B23)*100</f>
        <v>98.852963847250621</v>
      </c>
      <c r="C68" s="4"/>
      <c r="D68" s="4"/>
      <c r="E68" s="4"/>
    </row>
    <row r="69" spans="1:7" x14ac:dyDescent="0.25">
      <c r="A69" s="6" t="s">
        <v>31</v>
      </c>
      <c r="B69" s="4">
        <f>(B18/B24)*100</f>
        <v>94.970587158938329</v>
      </c>
      <c r="C69" s="4"/>
      <c r="D69" s="4"/>
      <c r="E69" s="4"/>
    </row>
    <row r="70" spans="1:7" ht="15.75" thickBot="1" x14ac:dyDescent="0.3">
      <c r="A70" s="10"/>
      <c r="B70" s="10"/>
      <c r="C70" s="10"/>
      <c r="D70" s="10"/>
      <c r="E70" s="10"/>
      <c r="F70" s="10"/>
      <c r="G70" s="10"/>
    </row>
    <row r="71" spans="1:7" ht="15.75" thickTop="1" x14ac:dyDescent="0.25"/>
    <row r="72" spans="1:7" x14ac:dyDescent="0.25">
      <c r="A72" s="11" t="s">
        <v>34</v>
      </c>
    </row>
    <row r="73" spans="1:7" x14ac:dyDescent="0.25">
      <c r="A73" s="23" t="s">
        <v>91</v>
      </c>
    </row>
    <row r="74" spans="1:7" x14ac:dyDescent="0.25">
      <c r="A74" s="6" t="s">
        <v>76</v>
      </c>
      <c r="B74" s="12"/>
      <c r="C74" s="12"/>
    </row>
    <row r="77" spans="1:7" x14ac:dyDescent="0.25">
      <c r="A77" s="6" t="s">
        <v>130</v>
      </c>
    </row>
    <row r="78" spans="1:7" x14ac:dyDescent="0.25">
      <c r="A78" s="6" t="s">
        <v>37</v>
      </c>
    </row>
    <row r="79" spans="1:7" x14ac:dyDescent="0.25">
      <c r="A79" s="6" t="s">
        <v>66</v>
      </c>
    </row>
    <row r="80" spans="1:7" x14ac:dyDescent="0.25">
      <c r="A80" s="6" t="s">
        <v>129</v>
      </c>
    </row>
  </sheetData>
  <mergeCells count="4">
    <mergeCell ref="A2:F2"/>
    <mergeCell ref="A4:A5"/>
    <mergeCell ref="B4:B5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2011-10-21T22:22:06Z</dcterms:created>
  <dcterms:modified xsi:type="dcterms:W3CDTF">2015-08-31T21:55:45Z</dcterms:modified>
</cp:coreProperties>
</file>