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600" yWindow="30" windowWidth="14115" windowHeight="8220" activeTab="6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 2012" sheetId="7" r:id="rId7"/>
  </sheets>
  <calcPr calcId="152511"/>
</workbook>
</file>

<file path=xl/calcChain.xml><?xml version="1.0" encoding="utf-8"?>
<calcChain xmlns="http://schemas.openxmlformats.org/spreadsheetml/2006/main">
  <c r="E41" i="7" l="1"/>
  <c r="I32" i="7"/>
  <c r="I33" i="7"/>
  <c r="I35" i="7" s="1"/>
  <c r="I58" i="7" s="1"/>
  <c r="I34" i="7"/>
  <c r="I50" i="7"/>
  <c r="B18" i="7"/>
  <c r="D16" i="7"/>
  <c r="E16" i="7"/>
  <c r="F16" i="7"/>
  <c r="G16" i="7"/>
  <c r="H16" i="7"/>
  <c r="I16" i="7"/>
  <c r="E17" i="7"/>
  <c r="I17" i="7"/>
  <c r="I61" i="7" s="1"/>
  <c r="D18" i="7"/>
  <c r="D20" i="7" s="1"/>
  <c r="E18" i="7"/>
  <c r="F18" i="7"/>
  <c r="G18" i="7"/>
  <c r="G20" i="7" s="1"/>
  <c r="H18" i="7"/>
  <c r="I18" i="7"/>
  <c r="C18" i="7"/>
  <c r="C16" i="7"/>
  <c r="B16" i="7" s="1"/>
  <c r="I20" i="7"/>
  <c r="E20" i="7"/>
  <c r="C20" i="7"/>
  <c r="D19" i="7"/>
  <c r="C19" i="7"/>
  <c r="B19" i="7" s="1"/>
  <c r="H20" i="7"/>
  <c r="F20" i="7"/>
  <c r="D13" i="7"/>
  <c r="E13" i="7"/>
  <c r="F13" i="7"/>
  <c r="G13" i="7"/>
  <c r="H13" i="7"/>
  <c r="I13" i="7"/>
  <c r="C13" i="7"/>
  <c r="B13" i="7" s="1"/>
  <c r="D10" i="7"/>
  <c r="E10" i="7"/>
  <c r="F10" i="7"/>
  <c r="G10" i="7"/>
  <c r="H10" i="7"/>
  <c r="E11" i="7"/>
  <c r="E40" i="7" s="1"/>
  <c r="F11" i="7"/>
  <c r="F40" i="7" s="1"/>
  <c r="G11" i="7"/>
  <c r="H11" i="7"/>
  <c r="I11" i="7"/>
  <c r="D12" i="7"/>
  <c r="D41" i="7" s="1"/>
  <c r="E12" i="7"/>
  <c r="F12" i="7"/>
  <c r="F41" i="7" s="1"/>
  <c r="G12" i="7"/>
  <c r="H12" i="7"/>
  <c r="I12" i="7"/>
  <c r="C10" i="7"/>
  <c r="B10" i="7" s="1"/>
  <c r="I32" i="5"/>
  <c r="I34" i="5" s="1"/>
  <c r="I35" i="5"/>
  <c r="I49" i="5"/>
  <c r="I50" i="5"/>
  <c r="I51" i="5" s="1"/>
  <c r="I56" i="5"/>
  <c r="E41" i="6"/>
  <c r="F41" i="6"/>
  <c r="D16" i="6"/>
  <c r="E16" i="6"/>
  <c r="F16" i="6"/>
  <c r="G16" i="6"/>
  <c r="H16" i="6"/>
  <c r="I16" i="6"/>
  <c r="E17" i="6"/>
  <c r="I17" i="6"/>
  <c r="D18" i="6"/>
  <c r="D20" i="6" s="1"/>
  <c r="E18" i="6"/>
  <c r="F18" i="6"/>
  <c r="G18" i="6"/>
  <c r="G20" i="6" s="1"/>
  <c r="H18" i="6"/>
  <c r="H20" i="6" s="1"/>
  <c r="I18" i="6"/>
  <c r="I45" i="6" s="1"/>
  <c r="C18" i="6"/>
  <c r="C20" i="6" s="1"/>
  <c r="C16" i="6"/>
  <c r="I20" i="6"/>
  <c r="E20" i="6"/>
  <c r="D19" i="6"/>
  <c r="C19" i="6"/>
  <c r="B19" i="6" s="1"/>
  <c r="F20" i="6"/>
  <c r="I32" i="6"/>
  <c r="I33" i="6"/>
  <c r="I34" i="6"/>
  <c r="I50" i="6"/>
  <c r="I62" i="6"/>
  <c r="E13" i="6"/>
  <c r="F13" i="6"/>
  <c r="G13" i="6"/>
  <c r="H13" i="6"/>
  <c r="I13" i="6"/>
  <c r="C13" i="6"/>
  <c r="D12" i="6"/>
  <c r="D41" i="6" s="1"/>
  <c r="E12" i="6"/>
  <c r="F12" i="6"/>
  <c r="G12" i="6"/>
  <c r="H12" i="6"/>
  <c r="I12" i="6"/>
  <c r="E11" i="6"/>
  <c r="E40" i="6" s="1"/>
  <c r="F11" i="6"/>
  <c r="F40" i="6" s="1"/>
  <c r="G11" i="6"/>
  <c r="H11" i="6"/>
  <c r="I11" i="6"/>
  <c r="D10" i="6"/>
  <c r="E10" i="6"/>
  <c r="F10" i="6"/>
  <c r="G10" i="6"/>
  <c r="H10" i="6"/>
  <c r="C10" i="6"/>
  <c r="B10" i="6"/>
  <c r="D10" i="5"/>
  <c r="E10" i="5"/>
  <c r="F10" i="5"/>
  <c r="G10" i="5"/>
  <c r="H10" i="5"/>
  <c r="C10" i="5"/>
  <c r="D20" i="5"/>
  <c r="D53" i="5" s="1"/>
  <c r="E20" i="5"/>
  <c r="E53" i="5" s="1"/>
  <c r="H20" i="5"/>
  <c r="H53" i="5" s="1"/>
  <c r="I20" i="5"/>
  <c r="I53" i="5" s="1"/>
  <c r="E41" i="5"/>
  <c r="F41" i="5"/>
  <c r="F53" i="4"/>
  <c r="G53" i="4"/>
  <c r="D40" i="4"/>
  <c r="E40" i="4"/>
  <c r="F40" i="4"/>
  <c r="D41" i="4"/>
  <c r="E41" i="4"/>
  <c r="F41" i="4"/>
  <c r="E53" i="3"/>
  <c r="F53" i="3"/>
  <c r="E40" i="3"/>
  <c r="F40" i="3"/>
  <c r="D41" i="3"/>
  <c r="E41" i="3"/>
  <c r="F41" i="3"/>
  <c r="B40" i="1"/>
  <c r="D40" i="1"/>
  <c r="E40" i="1"/>
  <c r="F40" i="1"/>
  <c r="D41" i="1"/>
  <c r="E41" i="1"/>
  <c r="F41" i="1"/>
  <c r="D40" i="2"/>
  <c r="E40" i="2"/>
  <c r="F40" i="2"/>
  <c r="D41" i="2"/>
  <c r="E41" i="2"/>
  <c r="F41" i="2"/>
  <c r="D18" i="5"/>
  <c r="E18" i="5"/>
  <c r="F18" i="5"/>
  <c r="F20" i="5" s="1"/>
  <c r="F53" i="5" s="1"/>
  <c r="G18" i="5"/>
  <c r="G20" i="5" s="1"/>
  <c r="G53" i="5" s="1"/>
  <c r="H18" i="5"/>
  <c r="I18" i="5"/>
  <c r="I33" i="5" s="1"/>
  <c r="I57" i="5" s="1"/>
  <c r="C18" i="5"/>
  <c r="D16" i="5"/>
  <c r="E16" i="5"/>
  <c r="F16" i="5"/>
  <c r="G16" i="5"/>
  <c r="B16" i="5" s="1"/>
  <c r="H16" i="5"/>
  <c r="I16" i="5"/>
  <c r="C16" i="5"/>
  <c r="D12" i="5"/>
  <c r="D41" i="5" s="1"/>
  <c r="E12" i="5"/>
  <c r="F12" i="5"/>
  <c r="G12" i="5"/>
  <c r="H12" i="5"/>
  <c r="I12" i="5"/>
  <c r="E11" i="5"/>
  <c r="E40" i="5" s="1"/>
  <c r="F11" i="5"/>
  <c r="F40" i="5" s="1"/>
  <c r="G11" i="5"/>
  <c r="H11" i="5"/>
  <c r="I11" i="5"/>
  <c r="I44" i="5" s="1"/>
  <c r="B10" i="5"/>
  <c r="E13" i="5"/>
  <c r="F13" i="5"/>
  <c r="G13" i="5"/>
  <c r="B13" i="5" s="1"/>
  <c r="H13" i="5"/>
  <c r="I13" i="5"/>
  <c r="C13" i="5"/>
  <c r="B29" i="7"/>
  <c r="B29" i="6"/>
  <c r="B29" i="5"/>
  <c r="B29" i="4"/>
  <c r="B29" i="3"/>
  <c r="B29" i="1"/>
  <c r="B29" i="2"/>
  <c r="E17" i="5"/>
  <c r="F17" i="5"/>
  <c r="G17" i="5"/>
  <c r="H17" i="5"/>
  <c r="I17" i="5"/>
  <c r="I61" i="5" s="1"/>
  <c r="D17" i="4"/>
  <c r="E17" i="4"/>
  <c r="F17" i="4"/>
  <c r="G17" i="4"/>
  <c r="H17" i="4"/>
  <c r="I17" i="4"/>
  <c r="C17" i="4"/>
  <c r="E17" i="3"/>
  <c r="F17" i="3"/>
  <c r="G17" i="3"/>
  <c r="H17" i="3"/>
  <c r="I17" i="3"/>
  <c r="C17" i="3"/>
  <c r="D17" i="1"/>
  <c r="E17" i="1"/>
  <c r="F17" i="1"/>
  <c r="G17" i="1"/>
  <c r="H17" i="1"/>
  <c r="I17" i="1"/>
  <c r="C12" i="4"/>
  <c r="B12" i="4" s="1"/>
  <c r="B41" i="4" s="1"/>
  <c r="C12" i="3"/>
  <c r="B12" i="3" s="1"/>
  <c r="B41" i="3" s="1"/>
  <c r="C12" i="1"/>
  <c r="C12" i="2"/>
  <c r="D20" i="1"/>
  <c r="D53" i="1" s="1"/>
  <c r="E20" i="1"/>
  <c r="E53" i="1" s="1"/>
  <c r="F20" i="1"/>
  <c r="F53" i="1" s="1"/>
  <c r="G20" i="1"/>
  <c r="G53" i="1" s="1"/>
  <c r="H20" i="1"/>
  <c r="H53" i="1" s="1"/>
  <c r="I20" i="1"/>
  <c r="C20" i="1"/>
  <c r="B16" i="1"/>
  <c r="B18" i="1"/>
  <c r="D20" i="3"/>
  <c r="D53" i="3" s="1"/>
  <c r="E20" i="3"/>
  <c r="F20" i="3"/>
  <c r="G20" i="3"/>
  <c r="G53" i="3" s="1"/>
  <c r="H20" i="3"/>
  <c r="H53" i="3" s="1"/>
  <c r="I20" i="3"/>
  <c r="C20" i="3"/>
  <c r="B16" i="3"/>
  <c r="B17" i="3"/>
  <c r="B18" i="3"/>
  <c r="D20" i="4"/>
  <c r="D53" i="4" s="1"/>
  <c r="E20" i="4"/>
  <c r="E53" i="4" s="1"/>
  <c r="F20" i="4"/>
  <c r="G20" i="4"/>
  <c r="H20" i="4"/>
  <c r="H53" i="4" s="1"/>
  <c r="I20" i="4"/>
  <c r="C20" i="4"/>
  <c r="B16" i="4"/>
  <c r="B17" i="4"/>
  <c r="B18" i="4"/>
  <c r="D13" i="4"/>
  <c r="C13" i="4"/>
  <c r="B13" i="4"/>
  <c r="D13" i="3"/>
  <c r="B13" i="3" s="1"/>
  <c r="C13" i="3"/>
  <c r="D13" i="1"/>
  <c r="D13" i="5" s="1"/>
  <c r="B13" i="1"/>
  <c r="D13" i="2"/>
  <c r="C13" i="2"/>
  <c r="B13" i="2"/>
  <c r="D20" i="2"/>
  <c r="D53" i="2" s="1"/>
  <c r="E20" i="2"/>
  <c r="E53" i="2" s="1"/>
  <c r="F20" i="2"/>
  <c r="F53" i="2" s="1"/>
  <c r="G20" i="2"/>
  <c r="G53" i="2" s="1"/>
  <c r="H20" i="2"/>
  <c r="H53" i="2" s="1"/>
  <c r="I20" i="2"/>
  <c r="C20" i="2"/>
  <c r="D19" i="5"/>
  <c r="D17" i="5" s="1"/>
  <c r="C19" i="5"/>
  <c r="D19" i="4"/>
  <c r="C19" i="4"/>
  <c r="B19" i="4" s="1"/>
  <c r="D19" i="3"/>
  <c r="D17" i="3" s="1"/>
  <c r="C19" i="3"/>
  <c r="B19" i="3" s="1"/>
  <c r="D19" i="1"/>
  <c r="C19" i="1"/>
  <c r="C17" i="1" s="1"/>
  <c r="B19" i="1"/>
  <c r="D19" i="2"/>
  <c r="D17" i="2" s="1"/>
  <c r="D17" i="7" s="1"/>
  <c r="E17" i="2"/>
  <c r="F17" i="2"/>
  <c r="G17" i="2"/>
  <c r="H17" i="2"/>
  <c r="H17" i="7" s="1"/>
  <c r="I17" i="2"/>
  <c r="C19" i="2"/>
  <c r="B18" i="2"/>
  <c r="B16" i="2"/>
  <c r="B10" i="4"/>
  <c r="B10" i="3"/>
  <c r="B12" i="1"/>
  <c r="B41" i="1" s="1"/>
  <c r="B10" i="1"/>
  <c r="B10" i="2"/>
  <c r="D11" i="4"/>
  <c r="D11" i="3"/>
  <c r="D40" i="3" s="1"/>
  <c r="D11" i="1"/>
  <c r="B11" i="1" s="1"/>
  <c r="D11" i="2"/>
  <c r="C11" i="4"/>
  <c r="B11" i="4" s="1"/>
  <c r="B40" i="4" s="1"/>
  <c r="C11" i="3"/>
  <c r="C11" i="6" s="1"/>
  <c r="C11" i="2"/>
  <c r="B11" i="3" l="1"/>
  <c r="B40" i="3" s="1"/>
  <c r="C17" i="5"/>
  <c r="B17" i="5" s="1"/>
  <c r="B19" i="5"/>
  <c r="D17" i="6"/>
  <c r="C20" i="5"/>
  <c r="B20" i="5" s="1"/>
  <c r="B18" i="5"/>
  <c r="B41" i="7"/>
  <c r="I57" i="6"/>
  <c r="I35" i="6"/>
  <c r="B16" i="6"/>
  <c r="I58" i="5"/>
  <c r="D11" i="7"/>
  <c r="D40" i="7" s="1"/>
  <c r="D11" i="6"/>
  <c r="D40" i="6" s="1"/>
  <c r="B19" i="2"/>
  <c r="G17" i="7"/>
  <c r="G17" i="6"/>
  <c r="C12" i="6"/>
  <c r="B12" i="6" s="1"/>
  <c r="B41" i="6" s="1"/>
  <c r="I56" i="6"/>
  <c r="I44" i="6"/>
  <c r="I46" i="6" s="1"/>
  <c r="I63" i="6" s="1"/>
  <c r="D13" i="6"/>
  <c r="B13" i="6" s="1"/>
  <c r="I61" i="6"/>
  <c r="I45" i="7"/>
  <c r="C11" i="7"/>
  <c r="B11" i="7" s="1"/>
  <c r="B40" i="7" s="1"/>
  <c r="B11" i="2"/>
  <c r="B40" i="2" s="1"/>
  <c r="C17" i="2"/>
  <c r="F17" i="6"/>
  <c r="B17" i="1"/>
  <c r="D11" i="5"/>
  <c r="D40" i="5" s="1"/>
  <c r="I49" i="6"/>
  <c r="I51" i="6" s="1"/>
  <c r="H17" i="6"/>
  <c r="I49" i="7"/>
  <c r="I51" i="7" s="1"/>
  <c r="I44" i="7"/>
  <c r="I62" i="7"/>
  <c r="B20" i="7"/>
  <c r="F17" i="7"/>
  <c r="I56" i="7"/>
  <c r="B20" i="3"/>
  <c r="B40" i="5"/>
  <c r="C12" i="5"/>
  <c r="B12" i="5" s="1"/>
  <c r="B41" i="5" s="1"/>
  <c r="C12" i="7"/>
  <c r="B12" i="7" s="1"/>
  <c r="I57" i="7"/>
  <c r="B12" i="2"/>
  <c r="B41" i="2" s="1"/>
  <c r="B20" i="1"/>
  <c r="C11" i="5"/>
  <c r="B11" i="5" s="1"/>
  <c r="I62" i="5"/>
  <c r="I63" i="5" s="1"/>
  <c r="I45" i="5"/>
  <c r="I46" i="5" s="1"/>
  <c r="I58" i="6"/>
  <c r="B20" i="6"/>
  <c r="B18" i="6"/>
  <c r="B20" i="4"/>
  <c r="B20" i="2"/>
  <c r="B17" i="2"/>
  <c r="C17" i="7" l="1"/>
  <c r="B17" i="7" s="1"/>
  <c r="C17" i="6"/>
  <c r="B17" i="6" s="1"/>
  <c r="B11" i="6"/>
  <c r="B40" i="6" s="1"/>
  <c r="I46" i="7"/>
  <c r="I63" i="7" s="1"/>
  <c r="H61" i="4"/>
  <c r="H62" i="3"/>
  <c r="H61" i="3"/>
  <c r="H62" i="1"/>
  <c r="H61" i="1"/>
  <c r="D62" i="2"/>
  <c r="E62" i="2"/>
  <c r="F62" i="2"/>
  <c r="G62" i="2"/>
  <c r="H62" i="2"/>
  <c r="H61" i="2"/>
  <c r="C40" i="4" l="1"/>
  <c r="C40" i="3"/>
  <c r="C40" i="1"/>
  <c r="C40" i="6" l="1"/>
  <c r="C40" i="5"/>
  <c r="C40" i="7"/>
  <c r="C40" i="2"/>
  <c r="C62" i="1" l="1"/>
  <c r="C41" i="2"/>
  <c r="D62" i="1" l="1"/>
  <c r="F62" i="1"/>
  <c r="C41" i="6"/>
  <c r="C41" i="3"/>
  <c r="E62" i="3"/>
  <c r="G62" i="3"/>
  <c r="C62" i="3"/>
  <c r="C41" i="5"/>
  <c r="C41" i="1"/>
  <c r="E62" i="1"/>
  <c r="G62" i="1"/>
  <c r="D62" i="3"/>
  <c r="F62" i="3"/>
  <c r="C41" i="7"/>
  <c r="C41" i="4"/>
  <c r="C62" i="4"/>
  <c r="C62" i="2"/>
  <c r="B24" i="7"/>
  <c r="H32" i="7"/>
  <c r="G32" i="7"/>
  <c r="B24" i="6"/>
  <c r="H61" i="6"/>
  <c r="H32" i="6"/>
  <c r="B24" i="5"/>
  <c r="G49" i="6"/>
  <c r="H49" i="6"/>
  <c r="G32" i="6"/>
  <c r="G49" i="5"/>
  <c r="H49" i="5"/>
  <c r="H50" i="4"/>
  <c r="H45" i="4"/>
  <c r="G56" i="3"/>
  <c r="H56" i="3"/>
  <c r="G49" i="3"/>
  <c r="H49" i="3"/>
  <c r="G50" i="3"/>
  <c r="G51" i="3" s="1"/>
  <c r="H50" i="3"/>
  <c r="G44" i="3"/>
  <c r="H44" i="3"/>
  <c r="H46" i="3" s="1"/>
  <c r="H45" i="3"/>
  <c r="G32" i="3"/>
  <c r="H32" i="3"/>
  <c r="G33" i="3"/>
  <c r="H33" i="3"/>
  <c r="G34" i="3"/>
  <c r="H34" i="3"/>
  <c r="G56" i="1"/>
  <c r="H56" i="1"/>
  <c r="G49" i="1"/>
  <c r="H49" i="1"/>
  <c r="G50" i="1"/>
  <c r="G51" i="1" s="1"/>
  <c r="H50" i="1"/>
  <c r="G44" i="1"/>
  <c r="H44" i="1"/>
  <c r="H45" i="1"/>
  <c r="G32" i="1"/>
  <c r="H32" i="1"/>
  <c r="H34" i="1" s="1"/>
  <c r="G33" i="1"/>
  <c r="H33" i="1"/>
  <c r="G34" i="1"/>
  <c r="G56" i="2"/>
  <c r="H56" i="2"/>
  <c r="G49" i="2"/>
  <c r="H49" i="2"/>
  <c r="G50" i="2"/>
  <c r="G51" i="2" s="1"/>
  <c r="H50" i="2"/>
  <c r="G44" i="2"/>
  <c r="H44" i="2"/>
  <c r="H45" i="2"/>
  <c r="G32" i="2"/>
  <c r="H32" i="2"/>
  <c r="G33" i="2"/>
  <c r="H33" i="2"/>
  <c r="G34" i="2"/>
  <c r="H34" i="2"/>
  <c r="B67" i="6" l="1"/>
  <c r="H46" i="2"/>
  <c r="G57" i="2"/>
  <c r="G35" i="2"/>
  <c r="G58" i="2" s="1"/>
  <c r="H57" i="2"/>
  <c r="H35" i="2"/>
  <c r="H58" i="2" s="1"/>
  <c r="G57" i="1"/>
  <c r="G35" i="1"/>
  <c r="G58" i="1" s="1"/>
  <c r="H57" i="1"/>
  <c r="H35" i="1"/>
  <c r="H58" i="1" s="1"/>
  <c r="G57" i="3"/>
  <c r="G35" i="3"/>
  <c r="G58" i="3" s="1"/>
  <c r="H57" i="3"/>
  <c r="H35" i="3"/>
  <c r="H58" i="3" s="1"/>
  <c r="H46" i="1"/>
  <c r="H63" i="1" s="1"/>
  <c r="D62" i="6"/>
  <c r="F62" i="6"/>
  <c r="E62" i="6"/>
  <c r="H62" i="6"/>
  <c r="D62" i="7"/>
  <c r="D62" i="4"/>
  <c r="F62" i="7"/>
  <c r="F62" i="4"/>
  <c r="H49" i="7"/>
  <c r="H62" i="4"/>
  <c r="H51" i="3"/>
  <c r="H44" i="4"/>
  <c r="H46" i="4" s="1"/>
  <c r="H49" i="4"/>
  <c r="H51" i="4" s="1"/>
  <c r="H56" i="4"/>
  <c r="G50" i="6"/>
  <c r="G51" i="6" s="1"/>
  <c r="G62" i="6"/>
  <c r="E62" i="4"/>
  <c r="G49" i="7"/>
  <c r="G62" i="4"/>
  <c r="H62" i="7"/>
  <c r="H51" i="2"/>
  <c r="H63" i="3"/>
  <c r="H33" i="7"/>
  <c r="H50" i="7"/>
  <c r="H51" i="1"/>
  <c r="G33" i="6"/>
  <c r="H45" i="7"/>
  <c r="H63" i="2"/>
  <c r="G33" i="7"/>
  <c r="G50" i="7"/>
  <c r="H33" i="6"/>
  <c r="H45" i="6"/>
  <c r="H50" i="6"/>
  <c r="H51" i="6" s="1"/>
  <c r="G57" i="6" l="1"/>
  <c r="G35" i="6"/>
  <c r="H57" i="6"/>
  <c r="H35" i="6"/>
  <c r="H57" i="7"/>
  <c r="H35" i="7"/>
  <c r="G57" i="7"/>
  <c r="G35" i="7"/>
  <c r="H51" i="7"/>
  <c r="G51" i="7"/>
  <c r="G62" i="7"/>
  <c r="H63" i="4"/>
  <c r="E62" i="7"/>
  <c r="G56" i="4"/>
  <c r="G49" i="4"/>
  <c r="G50" i="4"/>
  <c r="G44" i="4"/>
  <c r="G32" i="4"/>
  <c r="H32" i="4"/>
  <c r="G33" i="4"/>
  <c r="H33" i="4"/>
  <c r="G34" i="4"/>
  <c r="H34" i="4"/>
  <c r="G57" i="4" l="1"/>
  <c r="G35" i="4"/>
  <c r="G58" i="4" s="1"/>
  <c r="H57" i="4"/>
  <c r="H35" i="4"/>
  <c r="H58" i="4" s="1"/>
  <c r="G51" i="4"/>
  <c r="F61" i="4"/>
  <c r="E61" i="4"/>
  <c r="D61" i="4"/>
  <c r="C61" i="4"/>
  <c r="F61" i="3"/>
  <c r="E61" i="3"/>
  <c r="D61" i="3"/>
  <c r="C61" i="3"/>
  <c r="F61" i="1"/>
  <c r="E61" i="1"/>
  <c r="D61" i="1"/>
  <c r="C61" i="1"/>
  <c r="G61" i="1" l="1"/>
  <c r="G45" i="1"/>
  <c r="G46" i="1" s="1"/>
  <c r="G61" i="3"/>
  <c r="G45" i="3"/>
  <c r="G46" i="3" s="1"/>
  <c r="C62" i="7"/>
  <c r="G61" i="4"/>
  <c r="G45" i="4"/>
  <c r="G46" i="4" s="1"/>
  <c r="C62" i="6"/>
  <c r="G61" i="2"/>
  <c r="F61" i="2"/>
  <c r="E61" i="2"/>
  <c r="D61" i="2"/>
  <c r="C61" i="2"/>
  <c r="G63" i="4" l="1"/>
  <c r="G63" i="3"/>
  <c r="G63" i="1"/>
  <c r="D61" i="6"/>
  <c r="F61" i="6"/>
  <c r="C61" i="7"/>
  <c r="C61" i="6"/>
  <c r="E45" i="7"/>
  <c r="G45" i="2"/>
  <c r="G46" i="2" s="1"/>
  <c r="G45" i="7"/>
  <c r="B67" i="7"/>
  <c r="E53" i="7"/>
  <c r="D53" i="7"/>
  <c r="C53" i="7"/>
  <c r="B53" i="7"/>
  <c r="F50" i="7"/>
  <c r="E50" i="7"/>
  <c r="D50" i="7"/>
  <c r="C50" i="7"/>
  <c r="B50" i="7"/>
  <c r="F45" i="7"/>
  <c r="C45" i="7"/>
  <c r="F33" i="7"/>
  <c r="F35" i="7" s="1"/>
  <c r="E33" i="7"/>
  <c r="D33" i="7"/>
  <c r="C33" i="7"/>
  <c r="B33" i="7"/>
  <c r="F32" i="7"/>
  <c r="E32" i="7"/>
  <c r="D32" i="7"/>
  <c r="E53" i="6"/>
  <c r="D53" i="6"/>
  <c r="C53" i="6"/>
  <c r="B53" i="6"/>
  <c r="F50" i="6"/>
  <c r="E50" i="6"/>
  <c r="D50" i="6"/>
  <c r="C50" i="6"/>
  <c r="B50" i="6"/>
  <c r="D45" i="6"/>
  <c r="F33" i="6"/>
  <c r="F35" i="6" s="1"/>
  <c r="E33" i="6"/>
  <c r="D33" i="6"/>
  <c r="C33" i="6"/>
  <c r="B33" i="6"/>
  <c r="F32" i="6"/>
  <c r="E32" i="6"/>
  <c r="D32" i="6"/>
  <c r="F56" i="4"/>
  <c r="E56" i="4"/>
  <c r="D56" i="4"/>
  <c r="C56" i="4"/>
  <c r="C53" i="4"/>
  <c r="F50" i="4"/>
  <c r="E50" i="4"/>
  <c r="D50" i="4"/>
  <c r="C50" i="4"/>
  <c r="F49" i="4"/>
  <c r="E49" i="4"/>
  <c r="D49" i="4"/>
  <c r="D51" i="4" s="1"/>
  <c r="C49" i="4"/>
  <c r="F45" i="4"/>
  <c r="E45" i="4"/>
  <c r="D45" i="4"/>
  <c r="C45" i="4"/>
  <c r="F44" i="4"/>
  <c r="E44" i="4"/>
  <c r="E46" i="4" s="1"/>
  <c r="D44" i="4"/>
  <c r="D46" i="4" s="1"/>
  <c r="D63" i="4" s="1"/>
  <c r="C44" i="4"/>
  <c r="C46" i="4" s="1"/>
  <c r="C63" i="4" s="1"/>
  <c r="F33" i="4"/>
  <c r="F35" i="4" s="1"/>
  <c r="E33" i="4"/>
  <c r="D33" i="4"/>
  <c r="C33" i="4"/>
  <c r="F32" i="4"/>
  <c r="F34" i="4" s="1"/>
  <c r="F58" i="4" s="1"/>
  <c r="E32" i="4"/>
  <c r="E34" i="4" s="1"/>
  <c r="D32" i="4"/>
  <c r="D34" i="4" s="1"/>
  <c r="C32" i="4"/>
  <c r="C34" i="4" s="1"/>
  <c r="F56" i="3"/>
  <c r="E56" i="3"/>
  <c r="D56" i="3"/>
  <c r="C56" i="3"/>
  <c r="C53" i="3"/>
  <c r="F50" i="3"/>
  <c r="E50" i="3"/>
  <c r="D50" i="3"/>
  <c r="C50" i="3"/>
  <c r="F49" i="3"/>
  <c r="E49" i="3"/>
  <c r="E51" i="3" s="1"/>
  <c r="D49" i="3"/>
  <c r="C49" i="3"/>
  <c r="F45" i="3"/>
  <c r="E45" i="3"/>
  <c r="D45" i="3"/>
  <c r="C45" i="3"/>
  <c r="F44" i="3"/>
  <c r="E44" i="3"/>
  <c r="E46" i="3" s="1"/>
  <c r="D44" i="3"/>
  <c r="C44" i="3"/>
  <c r="F33" i="3"/>
  <c r="F35" i="3" s="1"/>
  <c r="E33" i="3"/>
  <c r="D33" i="3"/>
  <c r="C33" i="3"/>
  <c r="F32" i="3"/>
  <c r="F34" i="3" s="1"/>
  <c r="F58" i="3" s="1"/>
  <c r="E32" i="3"/>
  <c r="E34" i="3" s="1"/>
  <c r="D32" i="3"/>
  <c r="D34" i="3" s="1"/>
  <c r="C32" i="3"/>
  <c r="C34" i="3" s="1"/>
  <c r="F56" i="1"/>
  <c r="E56" i="1"/>
  <c r="D56" i="1"/>
  <c r="C56" i="1"/>
  <c r="C53" i="1"/>
  <c r="F50" i="1"/>
  <c r="E50" i="1"/>
  <c r="D50" i="1"/>
  <c r="C50" i="1"/>
  <c r="F49" i="1"/>
  <c r="E49" i="1"/>
  <c r="E51" i="1" s="1"/>
  <c r="D49" i="1"/>
  <c r="D51" i="1" s="1"/>
  <c r="C49" i="1"/>
  <c r="F45" i="1"/>
  <c r="E45" i="1"/>
  <c r="D45" i="1"/>
  <c r="C45" i="1"/>
  <c r="F44" i="1"/>
  <c r="F46" i="1" s="1"/>
  <c r="F63" i="1" s="1"/>
  <c r="E44" i="1"/>
  <c r="E46" i="1" s="1"/>
  <c r="D44" i="1"/>
  <c r="D46" i="1" s="1"/>
  <c r="C44" i="1"/>
  <c r="C46" i="1" s="1"/>
  <c r="F33" i="1"/>
  <c r="F35" i="1" s="1"/>
  <c r="E33" i="1"/>
  <c r="D33" i="1"/>
  <c r="C33" i="1"/>
  <c r="F32" i="1"/>
  <c r="F34" i="1" s="1"/>
  <c r="F58" i="1" s="1"/>
  <c r="E32" i="1"/>
  <c r="E34" i="1" s="1"/>
  <c r="D32" i="1"/>
  <c r="D34" i="1" s="1"/>
  <c r="C32" i="1"/>
  <c r="C34" i="1" s="1"/>
  <c r="F56" i="2"/>
  <c r="E56" i="2"/>
  <c r="D56" i="2"/>
  <c r="C56" i="2"/>
  <c r="C53" i="2"/>
  <c r="F50" i="2"/>
  <c r="E50" i="2"/>
  <c r="D50" i="2"/>
  <c r="C50" i="2"/>
  <c r="F49" i="2"/>
  <c r="E49" i="2"/>
  <c r="D49" i="2"/>
  <c r="F45" i="2"/>
  <c r="E45" i="2"/>
  <c r="D45" i="2"/>
  <c r="C45" i="2"/>
  <c r="F44" i="2"/>
  <c r="E44" i="2"/>
  <c r="D44" i="2"/>
  <c r="F33" i="2"/>
  <c r="F35" i="2" s="1"/>
  <c r="E33" i="2"/>
  <c r="E35" i="2" s="1"/>
  <c r="D33" i="2"/>
  <c r="C33" i="2"/>
  <c r="F32" i="2"/>
  <c r="F34" i="2" s="1"/>
  <c r="E32" i="2"/>
  <c r="E34" i="2" s="1"/>
  <c r="D32" i="2"/>
  <c r="D34" i="2" s="1"/>
  <c r="F58" i="2" l="1"/>
  <c r="C51" i="1"/>
  <c r="D45" i="7"/>
  <c r="D61" i="7"/>
  <c r="C46" i="3"/>
  <c r="C63" i="3" s="1"/>
  <c r="F45" i="6"/>
  <c r="G45" i="6"/>
  <c r="G61" i="6"/>
  <c r="E45" i="6"/>
  <c r="E61" i="6"/>
  <c r="F46" i="3"/>
  <c r="F63" i="3" s="1"/>
  <c r="D46" i="3"/>
  <c r="D63" i="3" s="1"/>
  <c r="G63" i="2"/>
  <c r="D57" i="2"/>
  <c r="F57" i="2"/>
  <c r="C45" i="6"/>
  <c r="F51" i="4"/>
  <c r="E51" i="4"/>
  <c r="C51" i="4"/>
  <c r="F46" i="4"/>
  <c r="F63" i="4" s="1"/>
  <c r="E63" i="4"/>
  <c r="F51" i="3"/>
  <c r="D51" i="3"/>
  <c r="C51" i="3"/>
  <c r="F51" i="1"/>
  <c r="E63" i="1"/>
  <c r="E57" i="6"/>
  <c r="D57" i="6"/>
  <c r="F57" i="6"/>
  <c r="E57" i="7"/>
  <c r="D57" i="7"/>
  <c r="F57" i="7"/>
  <c r="E57" i="4"/>
  <c r="C57" i="4"/>
  <c r="D57" i="4"/>
  <c r="F57" i="4"/>
  <c r="C57" i="3"/>
  <c r="D57" i="3"/>
  <c r="F57" i="3"/>
  <c r="E57" i="3"/>
  <c r="E57" i="1"/>
  <c r="C57" i="1"/>
  <c r="D57" i="1"/>
  <c r="F57" i="1"/>
  <c r="F51" i="2"/>
  <c r="E51" i="2"/>
  <c r="D51" i="2"/>
  <c r="F46" i="2"/>
  <c r="F63" i="2" s="1"/>
  <c r="E46" i="2"/>
  <c r="E63" i="2" s="1"/>
  <c r="D46" i="2"/>
  <c r="D63" i="2" s="1"/>
  <c r="E35" i="4"/>
  <c r="E58" i="4" s="1"/>
  <c r="C35" i="4"/>
  <c r="C58" i="4" s="1"/>
  <c r="D35" i="4"/>
  <c r="D58" i="4" s="1"/>
  <c r="E63" i="3"/>
  <c r="E35" i="3"/>
  <c r="E58" i="3" s="1"/>
  <c r="C35" i="3"/>
  <c r="C58" i="3" s="1"/>
  <c r="D35" i="3"/>
  <c r="D58" i="3" s="1"/>
  <c r="C63" i="1"/>
  <c r="D63" i="1"/>
  <c r="C35" i="1"/>
  <c r="C58" i="1" s="1"/>
  <c r="E35" i="1"/>
  <c r="E58" i="1" s="1"/>
  <c r="D35" i="1"/>
  <c r="D58" i="1" s="1"/>
  <c r="E58" i="2"/>
  <c r="E57" i="2"/>
  <c r="C35" i="2"/>
  <c r="D35" i="2"/>
  <c r="D58" i="2" s="1"/>
  <c r="B23" i="6" l="1"/>
  <c r="B66" i="6" s="1"/>
  <c r="B45" i="6"/>
  <c r="B23" i="7"/>
  <c r="B66" i="7" s="1"/>
  <c r="B45" i="7"/>
  <c r="H62" i="5"/>
  <c r="G61" i="5"/>
  <c r="G62" i="5"/>
  <c r="F61" i="5"/>
  <c r="F62" i="5"/>
  <c r="E61" i="5"/>
  <c r="E62" i="5"/>
  <c r="D61" i="5"/>
  <c r="D62" i="5"/>
  <c r="C61" i="5"/>
  <c r="C62" i="5"/>
  <c r="H32" i="5"/>
  <c r="G32" i="5"/>
  <c r="F32" i="5"/>
  <c r="E32" i="5"/>
  <c r="D32" i="5"/>
  <c r="B23" i="4"/>
  <c r="B66" i="4" s="1"/>
  <c r="B32" i="4"/>
  <c r="B23" i="3"/>
  <c r="B66" i="3" s="1"/>
  <c r="B32" i="3"/>
  <c r="B23" i="1"/>
  <c r="B66" i="1" s="1"/>
  <c r="B32" i="1"/>
  <c r="B23" i="2"/>
  <c r="B66" i="2" s="1"/>
  <c r="H61" i="7"/>
  <c r="G61" i="7"/>
  <c r="F61" i="7"/>
  <c r="H44" i="5"/>
  <c r="G44" i="5"/>
  <c r="H61" i="5" l="1"/>
  <c r="B62" i="2"/>
  <c r="E61" i="7"/>
  <c r="C44" i="2"/>
  <c r="C46" i="2" s="1"/>
  <c r="C49" i="2"/>
  <c r="C51" i="2" s="1"/>
  <c r="B32" i="2"/>
  <c r="C32" i="2"/>
  <c r="G44" i="6"/>
  <c r="G46" i="6" s="1"/>
  <c r="H44" i="7"/>
  <c r="H46" i="7" s="1"/>
  <c r="H50" i="5"/>
  <c r="H51" i="5" s="1"/>
  <c r="H45" i="5"/>
  <c r="H46" i="5" s="1"/>
  <c r="H33" i="5"/>
  <c r="H44" i="6"/>
  <c r="H46" i="6" s="1"/>
  <c r="G44" i="7"/>
  <c r="G46" i="7" s="1"/>
  <c r="G50" i="5"/>
  <c r="G51" i="5" s="1"/>
  <c r="G45" i="5"/>
  <c r="G46" i="5" s="1"/>
  <c r="G33" i="5"/>
  <c r="F44" i="5"/>
  <c r="F49" i="5"/>
  <c r="F49" i="7"/>
  <c r="F51" i="7" s="1"/>
  <c r="F44" i="7"/>
  <c r="F46" i="7" s="1"/>
  <c r="F63" i="7" s="1"/>
  <c r="E49" i="5"/>
  <c r="E44" i="5"/>
  <c r="E44" i="7"/>
  <c r="E46" i="7" s="1"/>
  <c r="E49" i="7"/>
  <c r="E51" i="7" s="1"/>
  <c r="E35" i="7"/>
  <c r="D49" i="5"/>
  <c r="D44" i="5"/>
  <c r="D49" i="7"/>
  <c r="D51" i="7" s="1"/>
  <c r="D44" i="7"/>
  <c r="D46" i="7" s="1"/>
  <c r="D35" i="7"/>
  <c r="B49" i="2"/>
  <c r="B50" i="4"/>
  <c r="B67" i="4"/>
  <c r="B53" i="4"/>
  <c r="B33" i="4"/>
  <c r="B45" i="4"/>
  <c r="B53" i="3"/>
  <c r="B33" i="3"/>
  <c r="B67" i="3"/>
  <c r="B50" i="3"/>
  <c r="B45" i="3"/>
  <c r="B50" i="1"/>
  <c r="B67" i="1"/>
  <c r="B53" i="1"/>
  <c r="B33" i="1"/>
  <c r="B45" i="1"/>
  <c r="D49" i="6"/>
  <c r="D51" i="6" s="1"/>
  <c r="D44" i="6"/>
  <c r="D46" i="6" s="1"/>
  <c r="D35" i="6"/>
  <c r="E49" i="6"/>
  <c r="E51" i="6" s="1"/>
  <c r="E44" i="6"/>
  <c r="E46" i="6" s="1"/>
  <c r="E35" i="6"/>
  <c r="F49" i="6"/>
  <c r="F51" i="6" s="1"/>
  <c r="F44" i="6"/>
  <c r="F46" i="6" s="1"/>
  <c r="F63" i="6" s="1"/>
  <c r="F33" i="5"/>
  <c r="B53" i="5"/>
  <c r="F50" i="5"/>
  <c r="E33" i="5"/>
  <c r="E50" i="5"/>
  <c r="D33" i="5"/>
  <c r="D50" i="5"/>
  <c r="C53" i="5"/>
  <c r="C33" i="5"/>
  <c r="B53" i="2"/>
  <c r="B33" i="2"/>
  <c r="B67" i="2"/>
  <c r="B50" i="2"/>
  <c r="C50" i="5"/>
  <c r="F45" i="5"/>
  <c r="E45" i="5"/>
  <c r="D45" i="5"/>
  <c r="B45" i="2"/>
  <c r="C45" i="5"/>
  <c r="C32" i="5"/>
  <c r="D51" i="5" l="1"/>
  <c r="F51" i="5"/>
  <c r="G57" i="5"/>
  <c r="G35" i="5"/>
  <c r="F57" i="5"/>
  <c r="F35" i="5"/>
  <c r="H57" i="5"/>
  <c r="H35" i="5"/>
  <c r="E51" i="5"/>
  <c r="F46" i="5"/>
  <c r="B44" i="2"/>
  <c r="B46" i="2" s="1"/>
  <c r="B61" i="2"/>
  <c r="H63" i="7"/>
  <c r="B32" i="6"/>
  <c r="B57" i="6" s="1"/>
  <c r="C32" i="6"/>
  <c r="C57" i="6" s="1"/>
  <c r="C34" i="2"/>
  <c r="C58" i="2" s="1"/>
  <c r="C57" i="2"/>
  <c r="B32" i="7"/>
  <c r="B57" i="7" s="1"/>
  <c r="C32" i="7"/>
  <c r="C57" i="7" s="1"/>
  <c r="C63" i="2"/>
  <c r="G63" i="7"/>
  <c r="F63" i="5"/>
  <c r="B61" i="7"/>
  <c r="B32" i="5"/>
  <c r="B61" i="5"/>
  <c r="D46" i="5"/>
  <c r="D63" i="5" s="1"/>
  <c r="B23" i="5"/>
  <c r="B66" i="5" s="1"/>
  <c r="H63" i="6"/>
  <c r="H63" i="5"/>
  <c r="G63" i="5"/>
  <c r="G63" i="6"/>
  <c r="E46" i="5"/>
  <c r="E63" i="5" s="1"/>
  <c r="E63" i="6"/>
  <c r="B50" i="5"/>
  <c r="D63" i="6"/>
  <c r="B51" i="2"/>
  <c r="E63" i="7"/>
  <c r="D63" i="7"/>
  <c r="B62" i="7"/>
  <c r="C49" i="7"/>
  <c r="C51" i="7" s="1"/>
  <c r="C44" i="7"/>
  <c r="C46" i="7" s="1"/>
  <c r="C35" i="7"/>
  <c r="B62" i="5"/>
  <c r="C44" i="5"/>
  <c r="C46" i="5" s="1"/>
  <c r="C49" i="5"/>
  <c r="C51" i="5" s="1"/>
  <c r="B57" i="4"/>
  <c r="B57" i="3"/>
  <c r="B33" i="5"/>
  <c r="B57" i="5" s="1"/>
  <c r="B67" i="5"/>
  <c r="B57" i="1"/>
  <c r="B45" i="5"/>
  <c r="B61" i="6"/>
  <c r="B62" i="6"/>
  <c r="C49" i="6"/>
  <c r="C51" i="6" s="1"/>
  <c r="C44" i="6"/>
  <c r="C46" i="6" s="1"/>
  <c r="C35" i="6"/>
  <c r="E57" i="5"/>
  <c r="E35" i="5"/>
  <c r="D57" i="5"/>
  <c r="D35" i="5"/>
  <c r="C57" i="5"/>
  <c r="C35" i="5"/>
  <c r="B35" i="2"/>
  <c r="B57" i="2"/>
  <c r="C34" i="7"/>
  <c r="C34" i="5"/>
  <c r="B61" i="4"/>
  <c r="B62" i="4"/>
  <c r="B34" i="4"/>
  <c r="B61" i="3"/>
  <c r="B62" i="3"/>
  <c r="B34" i="3"/>
  <c r="B61" i="1"/>
  <c r="B62" i="1"/>
  <c r="B34" i="1"/>
  <c r="B56" i="2"/>
  <c r="B63" i="2" l="1"/>
  <c r="C34" i="6"/>
  <c r="C58" i="6" s="1"/>
  <c r="B34" i="2"/>
  <c r="B58" i="2" s="1"/>
  <c r="B35" i="5"/>
  <c r="G56" i="5"/>
  <c r="G34" i="5"/>
  <c r="G58" i="5" s="1"/>
  <c r="G56" i="6"/>
  <c r="G34" i="6"/>
  <c r="G58" i="6" s="1"/>
  <c r="E34" i="7"/>
  <c r="E58" i="7" s="1"/>
  <c r="E56" i="7"/>
  <c r="G56" i="7"/>
  <c r="G34" i="7"/>
  <c r="G58" i="7" s="1"/>
  <c r="C56" i="6"/>
  <c r="C56" i="5"/>
  <c r="B56" i="5"/>
  <c r="D34" i="5"/>
  <c r="D58" i="5" s="1"/>
  <c r="D56" i="5"/>
  <c r="F34" i="5"/>
  <c r="F58" i="5" s="1"/>
  <c r="F56" i="5"/>
  <c r="H56" i="5"/>
  <c r="H34" i="5"/>
  <c r="H58" i="5" s="1"/>
  <c r="H56" i="6"/>
  <c r="H34" i="6"/>
  <c r="H58" i="6" s="1"/>
  <c r="D34" i="7"/>
  <c r="D58" i="7" s="1"/>
  <c r="D56" i="7"/>
  <c r="F34" i="7"/>
  <c r="F58" i="7" s="1"/>
  <c r="F56" i="7"/>
  <c r="H56" i="7"/>
  <c r="H34" i="7"/>
  <c r="H58" i="7" s="1"/>
  <c r="C58" i="5"/>
  <c r="C58" i="7"/>
  <c r="C56" i="7"/>
  <c r="E56" i="5"/>
  <c r="E34" i="5"/>
  <c r="E58" i="5" s="1"/>
  <c r="B44" i="4"/>
  <c r="B46" i="4" s="1"/>
  <c r="B56" i="4"/>
  <c r="B49" i="4"/>
  <c r="B51" i="4" s="1"/>
  <c r="B35" i="4"/>
  <c r="B58" i="4" s="1"/>
  <c r="B49" i="3"/>
  <c r="B51" i="3" s="1"/>
  <c r="B56" i="3"/>
  <c r="B44" i="3"/>
  <c r="B46" i="3" s="1"/>
  <c r="B35" i="3"/>
  <c r="B58" i="3" s="1"/>
  <c r="B44" i="1"/>
  <c r="B46" i="1" s="1"/>
  <c r="B56" i="1"/>
  <c r="B49" i="1"/>
  <c r="B51" i="1" s="1"/>
  <c r="C63" i="5"/>
  <c r="B35" i="1"/>
  <c r="B58" i="1" s="1"/>
  <c r="B49" i="5"/>
  <c r="B51" i="5" s="1"/>
  <c r="B44" i="5"/>
  <c r="B46" i="5" s="1"/>
  <c r="B63" i="5" s="1"/>
  <c r="C63" i="7"/>
  <c r="B49" i="7"/>
  <c r="B51" i="7" s="1"/>
  <c r="B44" i="7"/>
  <c r="B46" i="7" s="1"/>
  <c r="B35" i="7"/>
  <c r="D34" i="6"/>
  <c r="D58" i="6" s="1"/>
  <c r="D56" i="6"/>
  <c r="F34" i="6"/>
  <c r="F58" i="6" s="1"/>
  <c r="F56" i="6"/>
  <c r="B49" i="6"/>
  <c r="B51" i="6" s="1"/>
  <c r="B44" i="6"/>
  <c r="B46" i="6" s="1"/>
  <c r="B35" i="6"/>
  <c r="C63" i="6"/>
  <c r="E34" i="6"/>
  <c r="E58" i="6" s="1"/>
  <c r="E56" i="6"/>
  <c r="B34" i="7"/>
  <c r="B34" i="6"/>
  <c r="B34" i="5" l="1"/>
  <c r="B58" i="5" s="1"/>
  <c r="B56" i="7"/>
  <c r="B56" i="6"/>
  <c r="B58" i="7"/>
  <c r="B63" i="4"/>
  <c r="B63" i="3"/>
  <c r="B63" i="1"/>
  <c r="B63" i="6"/>
  <c r="B63" i="7"/>
  <c r="B58" i="6"/>
</calcChain>
</file>

<file path=xl/comments1.xml><?xml version="1.0" encoding="utf-8"?>
<comments xmlns="http://schemas.openxmlformats.org/spreadsheetml/2006/main">
  <authors>
    <author>catherine.mata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Corresponde a las becas pagadas en el período
</t>
        </r>
      </text>
    </comment>
  </commentList>
</comments>
</file>

<file path=xl/sharedStrings.xml><?xml version="1.0" encoding="utf-8"?>
<sst xmlns="http://schemas.openxmlformats.org/spreadsheetml/2006/main" count="504" uniqueCount="119">
  <si>
    <t>Indicador</t>
  </si>
  <si>
    <t>Total programa</t>
  </si>
  <si>
    <t>NEE</t>
  </si>
  <si>
    <t>TED</t>
  </si>
  <si>
    <t>Insumos</t>
  </si>
  <si>
    <t xml:space="preserve">Beneficiarios </t>
  </si>
  <si>
    <t>Efectivos 2T 2011</t>
  </si>
  <si>
    <t>Gasto FODESAF</t>
  </si>
  <si>
    <t>Ingresos FODESAF</t>
  </si>
  <si>
    <t>Otros insumos</t>
  </si>
  <si>
    <t>IPC (2T 2011)</t>
  </si>
  <si>
    <t>Población objetivo</t>
  </si>
  <si>
    <t>Cálculos intermedios</t>
  </si>
  <si>
    <t>Gasto efectivo real 2T 2011</t>
  </si>
  <si>
    <t>Gasto efectivo real por beneficiario 2T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</si>
  <si>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</si>
  <si>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</si>
  <si>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</si>
  <si>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</si>
  <si>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</si>
  <si>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</si>
  <si>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</si>
  <si>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</si>
  <si>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</si>
  <si>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</si>
  <si>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</si>
  <si>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</si>
  <si>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</si>
  <si>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</si>
  <si>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</si>
  <si>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</si>
  <si>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</si>
  <si>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</si>
  <si>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</si>
  <si>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</si>
  <si>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</si>
  <si>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</si>
  <si>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Adolesc. Padres y Madres</t>
  </si>
  <si>
    <t>Post-secundaria Regular</t>
  </si>
  <si>
    <t>Avancemos más</t>
  </si>
  <si>
    <t>Efectivos 1T 2011</t>
  </si>
  <si>
    <t>IPC (1T 2011)</t>
  </si>
  <si>
    <t>Gasto efectivo real 1T 2011</t>
  </si>
  <si>
    <t>Gasto efectivo real por beneficiario 1T 2011</t>
  </si>
  <si>
    <t>Efectivos 3T 2011</t>
  </si>
  <si>
    <t>IPC (3T 2011)</t>
  </si>
  <si>
    <t>Gasto efectivo real 3T 2011</t>
  </si>
  <si>
    <t>Gasto efectivo real por beneficiario 3T 2011</t>
  </si>
  <si>
    <t>Efectivos 4T 2011</t>
  </si>
  <si>
    <t>IPC (4T 2011)</t>
  </si>
  <si>
    <t>Gasto efectivo real 4T 2011</t>
  </si>
  <si>
    <t>Gasto efectivo real por beneficiario 4T 2011</t>
  </si>
  <si>
    <t>Efectivos 1S 2011</t>
  </si>
  <si>
    <t>IPC (1S 2011)</t>
  </si>
  <si>
    <t>Gasto efectivo real 1S 2011</t>
  </si>
  <si>
    <t>Gasto efectivo real por beneficiario 1S 2011</t>
  </si>
  <si>
    <t>Efectivos  2011</t>
  </si>
  <si>
    <t>IPC ( 2011)</t>
  </si>
  <si>
    <t>Gasto efectivo real  2011</t>
  </si>
  <si>
    <t>Gasto efectivo real por beneficiario  2011</t>
  </si>
  <si>
    <t>n.d</t>
  </si>
  <si>
    <t>n.a</t>
  </si>
  <si>
    <t>Preescolar Y Primaria</t>
  </si>
  <si>
    <t>Fuentes:</t>
  </si>
  <si>
    <t xml:space="preserve">Gasto mensual programado por beneficiario (GPB) </t>
  </si>
  <si>
    <t xml:space="preserve">Gasto mensual efectivo por beneficiario (GEB) </t>
  </si>
  <si>
    <t>Indicadores aplicados a FONABE.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</si>
  <si>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</si>
  <si>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</si>
  <si>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</si>
  <si>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</si>
  <si>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</si>
  <si>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</si>
  <si>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</si>
  <si>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Indicadores aplicados a FONABE.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</si>
  <si>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</si>
  <si>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</si>
  <si>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</si>
  <si>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</si>
  <si>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</si>
  <si>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</si>
  <si>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aplicados a FONABE. Tercer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</si>
  <si>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</si>
  <si>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</si>
  <si>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</si>
  <si>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</si>
  <si>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</si>
  <si>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</si>
  <si>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aplicados a FONABE. Cuarto trimestre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</si>
  <si>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</si>
  <si>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</si>
  <si>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</si>
  <si>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</si>
  <si>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</si>
  <si>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</si>
  <si>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aplicados a FONABE. Primer Semestre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</si>
  <si>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</si>
  <si>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</si>
  <si>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</si>
  <si>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</si>
  <si>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</si>
  <si>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</si>
  <si>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Indicadores aplicados a FONABE. Tercer trimestre ACUMULADO 2012</t>
  </si>
  <si>
    <t>Indicadores aplicados a FONABE. Año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</si>
  <si>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</si>
  <si>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</si>
  <si>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</si>
  <si>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</si>
  <si>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</si>
  <si>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</si>
  <si>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Notas:</t>
  </si>
  <si>
    <t>Se incluye ley mas convenio.</t>
  </si>
  <si>
    <t>Nin@s trabajadores</t>
  </si>
  <si>
    <t>n.a.</t>
  </si>
  <si>
    <t>Beneficios</t>
  </si>
  <si>
    <t>n.d.</t>
  </si>
  <si>
    <t>Informes Trimestrales 2011 y 2012, FONABE</t>
  </si>
  <si>
    <t>Programacion y modificaciones de metas 2012, DESAF</t>
  </si>
  <si>
    <t>En beneficiarios se trata de la cantidad de subsidios efectivamente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</si>
</sst>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2" fillId="0" borderId="0" xfId="0" applyFont="1" applyFill="1"/>
    <xf numFmtId="43" fontId="0" fillId="0" borderId="0" xfId="1" applyFont="1" applyFill="1"/>
    <xf numFmtId="3" fontId="0" fillId="0" borderId="0" xfId="0" applyNumberFormat="1" applyFill="1" applyAlignment="1">
      <alignment horizontal="center"/>
    </xf>
    <xf numFmtId="0" fontId="0" fillId="0" borderId="2" xfId="0" applyFill="1" applyBorder="1"/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166" fontId="0" fillId="0" borderId="0" xfId="1" applyNumberFormat="1" applyFont="1" applyFill="1"/>
    <xf numFmtId="3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/>
    <xf numFmtId="4" fontId="0" fillId="0" borderId="0" xfId="0" applyNumberFormat="1" applyFill="1" applyAlignment="1"/>
    <xf numFmtId="0" fontId="0" fillId="0" borderId="4" xfId="0" applyFill="1" applyBorder="1" applyAlignment="1">
      <alignment vertical="center"/>
    </xf>
    <xf numFmtId="43" fontId="0" fillId="0" borderId="0" xfId="1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0" fillId="0" borderId="3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Índice de</a:t>
            </a:r>
            <a:r>
              <a:rPr lang="es-CR" baseline="0"/>
              <a:t> Efectividad en Beneficiarios</a:t>
            </a:r>
            <a:endParaRPr lang="es-C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Trimestre'!$B$44</c:f>
              <c:numCache>
                <c:formatCode>#,##0.00</c:formatCode>
                <c:ptCount val="1"/>
                <c:pt idx="0">
                  <c:v>72.063749582478408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Trimestre'!$B$44</c:f>
              <c:numCache>
                <c:formatCode>#,##0.00</c:formatCode>
                <c:ptCount val="1"/>
                <c:pt idx="0">
                  <c:v>234.72920742472684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Semestre'!$B$44</c:f>
              <c:numCache>
                <c:formatCode>#,##0.00</c:formatCode>
                <c:ptCount val="1"/>
                <c:pt idx="0">
                  <c:v>153.39647850360259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Trimestre'!$B$44</c:f>
              <c:numCache>
                <c:formatCode>#,##0.00</c:formatCode>
                <c:ptCount val="1"/>
                <c:pt idx="0">
                  <c:v>397.42176353967869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Acumulado'!$B$44</c:f>
              <c:numCache>
                <c:formatCode>#,##0.00</c:formatCode>
                <c:ptCount val="1"/>
                <c:pt idx="0">
                  <c:v>236.35579127718009</c:v>
                </c:pt>
              </c:numCache>
            </c:numRef>
          </c:val>
        </c:ser>
        <c:ser>
          <c:idx val="5"/>
          <c:order val="5"/>
          <c:tx>
            <c:v>Cuarto Trimestre</c:v>
          </c:tx>
          <c:invertIfNegative val="0"/>
          <c:val>
            <c:numRef>
              <c:f>'IV Trimestre'!$B$44</c:f>
              <c:numCache>
                <c:formatCode>#,##0.00</c:formatCode>
                <c:ptCount val="1"/>
                <c:pt idx="0">
                  <c:v>308.20799272545071</c:v>
                </c:pt>
              </c:numCache>
            </c:numRef>
          </c:val>
        </c:ser>
        <c:ser>
          <c:idx val="6"/>
          <c:order val="6"/>
          <c:tx>
            <c:v>Anual</c:v>
          </c:tx>
          <c:invertIfNegative val="0"/>
          <c:val>
            <c:numRef>
              <c:f>'Anual 2012'!$B$44</c:f>
              <c:numCache>
                <c:formatCode>#,##0.00</c:formatCode>
                <c:ptCount val="1"/>
                <c:pt idx="0">
                  <c:v>254.56411582820931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34680"/>
        <c:axId val="284435064"/>
      </c:barChart>
      <c:catAx>
        <c:axId val="284434680"/>
        <c:scaling>
          <c:orientation val="minMax"/>
        </c:scaling>
        <c:delete val="1"/>
        <c:axPos val="b"/>
        <c:majorTickMark val="out"/>
        <c:minorTickMark val="none"/>
        <c:tickLblPos val="none"/>
        <c:crossAx val="284435064"/>
        <c:crosses val="autoZero"/>
        <c:auto val="1"/>
        <c:lblAlgn val="ctr"/>
        <c:lblOffset val="100"/>
        <c:noMultiLvlLbl val="0"/>
      </c:catAx>
      <c:valAx>
        <c:axId val="2844350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84434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Índice de Avance en Beneficiarios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Trimestre'!$B$49</c:f>
              <c:numCache>
                <c:formatCode>#,##0.00</c:formatCode>
                <c:ptCount val="1"/>
                <c:pt idx="0">
                  <c:v>72.063749582478408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Trimestre'!$B$49</c:f>
              <c:numCache>
                <c:formatCode>#,##0.00</c:formatCode>
                <c:ptCount val="1"/>
                <c:pt idx="0">
                  <c:v>234.72920742472684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Semestre'!$B$49</c:f>
              <c:numCache>
                <c:formatCode>#,##0.00</c:formatCode>
                <c:ptCount val="1"/>
                <c:pt idx="0">
                  <c:v>153.39647850360259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Trimestre'!$B$49</c:f>
              <c:numCache>
                <c:formatCode>#,##0.00</c:formatCode>
                <c:ptCount val="1"/>
                <c:pt idx="0">
                  <c:v>397.42176353967869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Acumulado'!$B$49</c:f>
              <c:numCache>
                <c:formatCode>#,##0.00</c:formatCode>
                <c:ptCount val="1"/>
                <c:pt idx="0">
                  <c:v>231.74729638756614</c:v>
                </c:pt>
              </c:numCache>
            </c:numRef>
          </c:val>
        </c:ser>
        <c:ser>
          <c:idx val="5"/>
          <c:order val="5"/>
          <c:tx>
            <c:v>Cuarto Trimestre</c:v>
          </c:tx>
          <c:invertIfNegative val="0"/>
          <c:val>
            <c:numRef>
              <c:f>'IV Trimestre'!$B$49</c:f>
              <c:numCache>
                <c:formatCode>#,##0.00</c:formatCode>
                <c:ptCount val="1"/>
                <c:pt idx="0">
                  <c:v>308.20799272545071</c:v>
                </c:pt>
              </c:numCache>
            </c:numRef>
          </c:val>
        </c:ser>
        <c:ser>
          <c:idx val="6"/>
          <c:order val="6"/>
          <c:tx>
            <c:v>Anual</c:v>
          </c:tx>
          <c:invertIfNegative val="0"/>
          <c:val>
            <c:numRef>
              <c:f>'Anual 2012'!$B$49</c:f>
              <c:numCache>
                <c:formatCode>#,##0.00</c:formatCode>
                <c:ptCount val="1"/>
                <c:pt idx="0">
                  <c:v>251.13502454232508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45672"/>
        <c:axId val="284531752"/>
      </c:barChart>
      <c:catAx>
        <c:axId val="284945672"/>
        <c:scaling>
          <c:orientation val="minMax"/>
        </c:scaling>
        <c:delete val="1"/>
        <c:axPos val="b"/>
        <c:majorTickMark val="out"/>
        <c:minorTickMark val="none"/>
        <c:tickLblPos val="none"/>
        <c:crossAx val="284531752"/>
        <c:crosses val="autoZero"/>
        <c:auto val="1"/>
        <c:lblAlgn val="ctr"/>
        <c:lblOffset val="100"/>
        <c:noMultiLvlLbl val="0"/>
      </c:catAx>
      <c:valAx>
        <c:axId val="2845317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84945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Índice de Efectividad en Gasto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Trimestre'!$B$45</c:f>
              <c:numCache>
                <c:formatCode>#,##0.00</c:formatCode>
                <c:ptCount val="1"/>
                <c:pt idx="0">
                  <c:v>24.382534823483184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Trimestre'!$B$45</c:f>
              <c:numCache>
                <c:formatCode>#,##0.00</c:formatCode>
                <c:ptCount val="1"/>
                <c:pt idx="0">
                  <c:v>76.793298922090571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Semestre'!$B$45</c:f>
              <c:numCache>
                <c:formatCode>#,##0.00</c:formatCode>
                <c:ptCount val="1"/>
                <c:pt idx="0">
                  <c:v>50.587916872786877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Trimestre'!$B$45</c:f>
              <c:numCache>
                <c:formatCode>#,##0.00</c:formatCode>
                <c:ptCount val="1"/>
                <c:pt idx="0">
                  <c:v>106.51891841222663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Acumulado'!$B$45</c:f>
              <c:numCache>
                <c:formatCode>#,##0.00</c:formatCode>
                <c:ptCount val="1"/>
                <c:pt idx="0">
                  <c:v>69.231584052600127</c:v>
                </c:pt>
              </c:numCache>
            </c:numRef>
          </c:val>
        </c:ser>
        <c:ser>
          <c:idx val="6"/>
          <c:order val="5"/>
          <c:tx>
            <c:v>Cuarto Trimestre</c:v>
          </c:tx>
          <c:invertIfNegative val="0"/>
          <c:val>
            <c:numRef>
              <c:f>'IV Trimestre'!$B$45</c:f>
              <c:numCache>
                <c:formatCode>#,##0.00</c:formatCode>
                <c:ptCount val="1"/>
                <c:pt idx="0">
                  <c:v>90.765575253486389</c:v>
                </c:pt>
              </c:numCache>
            </c:numRef>
          </c:val>
        </c:ser>
        <c:ser>
          <c:idx val="5"/>
          <c:order val="6"/>
          <c:tx>
            <c:v>Anual</c:v>
          </c:tx>
          <c:invertIfNegative val="0"/>
          <c:val>
            <c:numRef>
              <c:f>'Anual 2012'!$B$45</c:f>
              <c:numCache>
                <c:formatCode>#,##0.00</c:formatCode>
                <c:ptCount val="1"/>
                <c:pt idx="0">
                  <c:v>74.615081852821703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89896"/>
        <c:axId val="284625128"/>
      </c:barChart>
      <c:catAx>
        <c:axId val="284489896"/>
        <c:scaling>
          <c:orientation val="minMax"/>
        </c:scaling>
        <c:delete val="1"/>
        <c:axPos val="b"/>
        <c:majorTickMark val="out"/>
        <c:minorTickMark val="none"/>
        <c:tickLblPos val="none"/>
        <c:crossAx val="284625128"/>
        <c:crosses val="autoZero"/>
        <c:auto val="1"/>
        <c:lblAlgn val="ctr"/>
        <c:lblOffset val="100"/>
        <c:noMultiLvlLbl val="0"/>
      </c:catAx>
      <c:valAx>
        <c:axId val="2846251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84489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Índice de Avance en Gasto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Trimestre'!$B$50</c:f>
              <c:numCache>
                <c:formatCode>#,##0.00</c:formatCode>
                <c:ptCount val="1"/>
                <c:pt idx="0">
                  <c:v>6.0956337058707959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Trimestre'!$B$50</c:f>
              <c:numCache>
                <c:formatCode>#,##0.00</c:formatCode>
                <c:ptCount val="1"/>
                <c:pt idx="0">
                  <c:v>19.198324730522643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Semestre'!$B$50</c:f>
              <c:numCache>
                <c:formatCode>#,##0.00</c:formatCode>
                <c:ptCount val="1"/>
                <c:pt idx="0">
                  <c:v>25.293958436393439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Trimestre'!$B$50</c:f>
              <c:numCache>
                <c:formatCode>#,##0.00</c:formatCode>
                <c:ptCount val="1"/>
                <c:pt idx="0">
                  <c:v>26.629729603056656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Acumulado'!$B$50</c:f>
              <c:numCache>
                <c:formatCode>#,##0.00</c:formatCode>
                <c:ptCount val="1"/>
                <c:pt idx="0">
                  <c:v>51.923688039450099</c:v>
                </c:pt>
              </c:numCache>
            </c:numRef>
          </c:val>
        </c:ser>
        <c:ser>
          <c:idx val="5"/>
          <c:order val="5"/>
          <c:tx>
            <c:v>Cuarto Trimestre</c:v>
          </c:tx>
          <c:invertIfNegative val="0"/>
          <c:val>
            <c:numRef>
              <c:f>'IV Trimestre'!$B$50</c:f>
              <c:numCache>
                <c:formatCode>#,##0.00</c:formatCode>
                <c:ptCount val="1"/>
                <c:pt idx="0">
                  <c:v>22.691393813371597</c:v>
                </c:pt>
              </c:numCache>
            </c:numRef>
          </c:val>
        </c:ser>
        <c:ser>
          <c:idx val="6"/>
          <c:order val="6"/>
          <c:tx>
            <c:v>Anual</c:v>
          </c:tx>
          <c:invertIfNegative val="0"/>
          <c:val>
            <c:numRef>
              <c:f>'Anual 2012'!$B$50</c:f>
              <c:numCache>
                <c:formatCode>#,##0.00</c:formatCode>
                <c:ptCount val="1"/>
                <c:pt idx="0">
                  <c:v>74.615081852821703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773688"/>
        <c:axId val="284774072"/>
      </c:barChart>
      <c:catAx>
        <c:axId val="284773688"/>
        <c:scaling>
          <c:orientation val="minMax"/>
        </c:scaling>
        <c:delete val="1"/>
        <c:axPos val="b"/>
        <c:majorTickMark val="out"/>
        <c:minorTickMark val="none"/>
        <c:tickLblPos val="none"/>
        <c:crossAx val="284774072"/>
        <c:crosses val="autoZero"/>
        <c:auto val="1"/>
        <c:lblAlgn val="ctr"/>
        <c:lblOffset val="100"/>
        <c:noMultiLvlLbl val="0"/>
      </c:catAx>
      <c:valAx>
        <c:axId val="2847740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84773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407457</xdr:colOff>
      <xdr:row>79</xdr:row>
      <xdr:rowOff>163511</xdr:rowOff>
    </xdr:from>
    <xdr:to>
      <xdr:col>2</xdr:col>
      <xdr:colOff>1007532</xdr:colOff>
      <xdr:row>96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52916</xdr:colOff>
      <xdr:row>79</xdr:row>
      <xdr:rowOff>186267</xdr:rowOff>
    </xdr:from>
    <xdr:to>
      <xdr:col>7</xdr:col>
      <xdr:colOff>291041</xdr:colOff>
      <xdr:row>96</xdr:row>
      <xdr:rowOff>119593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277283</xdr:colOff>
      <xdr:row>97</xdr:row>
      <xdr:rowOff>84137</xdr:rowOff>
    </xdr:from>
    <xdr:to>
      <xdr:col>2</xdr:col>
      <xdr:colOff>963083</xdr:colOff>
      <xdr:row>114</xdr:row>
      <xdr:rowOff>88901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42334</xdr:colOff>
      <xdr:row>97</xdr:row>
      <xdr:rowOff>82020</xdr:rowOff>
    </xdr:from>
    <xdr:to>
      <xdr:col>7</xdr:col>
      <xdr:colOff>213784</xdr:colOff>
      <xdr:row>114</xdr:row>
      <xdr:rowOff>67734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n@s%20trabajadore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in@s%20trabajado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Nin@s%20trabajador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in@s%20trabajadore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Nin@s%20trabajador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Nin@s%20trabajador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in@s%20trabajad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8"/>
  <sheetViews>
    <sheetView zoomScale="90" zoomScaleNormal="90" workbookViewId="0"/>
  </sheetViews>
  <sheetFormatPr baseColWidth="10" defaultColWidth="11.42578125" defaultRowHeight="15" x14ac:dyDescent="0.25"/>
  <cols>
    <col min="1" max="1" width="55.7109375" style="6" bestFit="1" customWidth="1"/>
    <col min="2" max="2" width="16.5703125" style="6" customWidth="1"/>
    <col min="3" max="3" width="20.28515625" style="6" bestFit="1" customWidth="1"/>
    <col min="4" max="4" width="16.42578125" style="6" bestFit="1" customWidth="1"/>
    <col min="5" max="5" width="15.28515625" style="6" customWidth="1"/>
    <col min="6" max="6" width="15.42578125" style="6" customWidth="1"/>
    <col min="7" max="7" width="15.140625" style="6" bestFit="1" customWidth="1"/>
    <col min="8" max="8" width="14.140625" style="6" bestFit="1" customWidth="1"/>
    <col min="9" max="9" width="12.28515625" style="6" customWidth="1"/>
    <col min="10" max="16384" width="11.42578125" style="6"/>
  </cols>
  <sheetData>
    <row r="2" spans="1:9" ht="15.75" x14ac:dyDescent="0.25">
      <c r="A2" s="30" t="s">
        <v>66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7" t="s">
        <v>2</v>
      </c>
      <c r="E5" s="7" t="s">
        <v>3</v>
      </c>
      <c r="F5" s="8" t="s">
        <v>38</v>
      </c>
      <c r="G5" s="8" t="s">
        <v>37</v>
      </c>
      <c r="H5" s="8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40</v>
      </c>
      <c r="B10" s="17">
        <f>SUM(C10:I10)</f>
        <v>49677.666666666664</v>
      </c>
      <c r="C10" s="17">
        <v>43875</v>
      </c>
      <c r="D10" s="17">
        <v>4037.6666666666665</v>
      </c>
      <c r="E10" s="17">
        <v>1338.6666666666667</v>
      </c>
      <c r="F10" s="17">
        <v>0</v>
      </c>
      <c r="G10" s="17">
        <v>426.33333333333331</v>
      </c>
      <c r="H10" s="17">
        <v>0</v>
      </c>
      <c r="I10" s="6" t="s">
        <v>113</v>
      </c>
    </row>
    <row r="11" spans="1:9" x14ac:dyDescent="0.25">
      <c r="A11" s="3" t="s">
        <v>67</v>
      </c>
      <c r="B11" s="17">
        <f t="shared" ref="B11:B12" si="0">SUM(C11:I11)</f>
        <v>104785</v>
      </c>
      <c r="C11" s="17">
        <f>2175+4515+77210+4517</f>
        <v>88417</v>
      </c>
      <c r="D11" s="17">
        <f>6000+2922</f>
        <v>8922</v>
      </c>
      <c r="E11" s="17">
        <v>2300</v>
      </c>
      <c r="F11" s="17">
        <v>2400</v>
      </c>
      <c r="G11" s="17">
        <v>850</v>
      </c>
      <c r="H11" s="17">
        <v>1201</v>
      </c>
      <c r="I11" s="17">
        <v>695</v>
      </c>
    </row>
    <row r="12" spans="1:9" x14ac:dyDescent="0.25">
      <c r="A12" s="3" t="s">
        <v>68</v>
      </c>
      <c r="B12" s="17">
        <f t="shared" si="0"/>
        <v>75512</v>
      </c>
      <c r="C12" s="17">
        <f>0+71546</f>
        <v>71546</v>
      </c>
      <c r="D12" s="17">
        <v>3631</v>
      </c>
      <c r="E12" s="17">
        <v>0</v>
      </c>
      <c r="F12" s="17">
        <v>0</v>
      </c>
      <c r="G12" s="17">
        <v>255</v>
      </c>
      <c r="H12" s="17">
        <v>0</v>
      </c>
      <c r="I12" s="17">
        <v>80</v>
      </c>
    </row>
    <row r="13" spans="1:9" x14ac:dyDescent="0.25">
      <c r="A13" s="3" t="s">
        <v>69</v>
      </c>
      <c r="B13" s="17">
        <f t="shared" ref="B13" si="1">SUM(C13:I13)</f>
        <v>104785</v>
      </c>
      <c r="C13" s="17">
        <f>2175+4515+77210+4517</f>
        <v>88417</v>
      </c>
      <c r="D13" s="17">
        <f>6000+2922</f>
        <v>8922</v>
      </c>
      <c r="E13" s="17">
        <v>2300</v>
      </c>
      <c r="F13" s="17">
        <v>2400</v>
      </c>
      <c r="G13" s="17">
        <v>850</v>
      </c>
      <c r="H13" s="17">
        <v>1201</v>
      </c>
      <c r="I13" s="17"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40</v>
      </c>
      <c r="B16" s="2">
        <f>SUM(C16:I16)</f>
        <v>1891176000</v>
      </c>
      <c r="C16" s="19">
        <v>1447875000</v>
      </c>
      <c r="D16" s="2">
        <v>205921000</v>
      </c>
      <c r="E16" s="2">
        <v>160640000</v>
      </c>
      <c r="F16" s="2">
        <v>0</v>
      </c>
      <c r="G16" s="2">
        <v>76740000</v>
      </c>
      <c r="H16" s="2">
        <v>0</v>
      </c>
    </row>
    <row r="17" spans="1:9" x14ac:dyDescent="0.25">
      <c r="A17" s="3" t="s">
        <v>67</v>
      </c>
      <c r="B17" s="2">
        <f t="shared" ref="B17:B20" si="2">SUM(C17:I17)</f>
        <v>5180659062.5</v>
      </c>
      <c r="C17" s="19">
        <f>C19/4</f>
        <v>2917711500</v>
      </c>
      <c r="D17" s="19">
        <f t="shared" ref="D17:I17" si="3">D19/4</f>
        <v>454992250</v>
      </c>
      <c r="E17" s="19">
        <f t="shared" si="3"/>
        <v>276000000</v>
      </c>
      <c r="F17" s="19">
        <f t="shared" si="3"/>
        <v>504000000</v>
      </c>
      <c r="G17" s="19">
        <f t="shared" si="3"/>
        <v>153000000</v>
      </c>
      <c r="H17" s="19">
        <f t="shared" si="3"/>
        <v>749960312.5</v>
      </c>
      <c r="I17" s="19">
        <f t="shared" si="3"/>
        <v>124995000</v>
      </c>
    </row>
    <row r="18" spans="1:9" x14ac:dyDescent="0.25">
      <c r="A18" s="3" t="s">
        <v>68</v>
      </c>
      <c r="B18" s="2">
        <f t="shared" si="2"/>
        <v>1263176000</v>
      </c>
      <c r="C18" s="19">
        <v>1159752000</v>
      </c>
      <c r="D18" s="2">
        <v>77384000</v>
      </c>
      <c r="E18" s="2">
        <v>0</v>
      </c>
      <c r="F18" s="2">
        <v>0</v>
      </c>
      <c r="G18" s="16">
        <v>19800000</v>
      </c>
      <c r="H18" s="10">
        <v>0</v>
      </c>
      <c r="I18" s="6">
        <v>6240000</v>
      </c>
    </row>
    <row r="19" spans="1:9" x14ac:dyDescent="0.25">
      <c r="A19" s="3" t="s">
        <v>69</v>
      </c>
      <c r="B19" s="2">
        <f t="shared" si="2"/>
        <v>20722636250</v>
      </c>
      <c r="C19" s="19">
        <f>287100000+595980000+10191643000+596123000</f>
        <v>11670846000</v>
      </c>
      <c r="D19" s="2">
        <f>1224000000+595969000</f>
        <v>1819969000</v>
      </c>
      <c r="E19" s="2">
        <v>1104000000</v>
      </c>
      <c r="F19" s="2">
        <v>2016000000</v>
      </c>
      <c r="G19" s="2">
        <v>612000000</v>
      </c>
      <c r="H19" s="2">
        <v>2999841250</v>
      </c>
      <c r="I19" s="2">
        <v>499980000</v>
      </c>
    </row>
    <row r="20" spans="1:9" x14ac:dyDescent="0.25">
      <c r="A20" s="3" t="s">
        <v>70</v>
      </c>
      <c r="B20" s="2">
        <f t="shared" si="2"/>
        <v>1263176000</v>
      </c>
      <c r="C20" s="19">
        <f>C18</f>
        <v>1159752000</v>
      </c>
      <c r="D20" s="19">
        <f t="shared" ref="D20:I20" si="4">D18</f>
        <v>77384000</v>
      </c>
      <c r="E20" s="19">
        <f t="shared" si="4"/>
        <v>0</v>
      </c>
      <c r="F20" s="19">
        <f t="shared" si="4"/>
        <v>0</v>
      </c>
      <c r="G20" s="19">
        <f t="shared" si="4"/>
        <v>19800000</v>
      </c>
      <c r="H20" s="19">
        <f t="shared" si="4"/>
        <v>0</v>
      </c>
      <c r="I20" s="19">
        <f t="shared" si="4"/>
        <v>6240000</v>
      </c>
    </row>
    <row r="21" spans="1:9" x14ac:dyDescent="0.25">
      <c r="B21" s="2"/>
      <c r="C21" s="2"/>
      <c r="D21" s="2"/>
    </row>
    <row r="22" spans="1:9" x14ac:dyDescent="0.25">
      <c r="A22" s="5" t="s">
        <v>8</v>
      </c>
      <c r="B22" s="2"/>
      <c r="C22" s="2"/>
      <c r="D22" s="2"/>
    </row>
    <row r="23" spans="1:9" x14ac:dyDescent="0.25">
      <c r="A23" s="3" t="s">
        <v>67</v>
      </c>
      <c r="B23" s="2">
        <f>B17</f>
        <v>5180659062.5</v>
      </c>
      <c r="C23" s="4"/>
      <c r="D23" s="4"/>
      <c r="E23" s="4"/>
      <c r="F23" s="4"/>
    </row>
    <row r="24" spans="1:9" x14ac:dyDescent="0.25">
      <c r="A24" s="3" t="s">
        <v>68</v>
      </c>
      <c r="B24" s="2">
        <v>6041681860.3299999</v>
      </c>
      <c r="C24" s="4"/>
      <c r="D24" s="4"/>
      <c r="E24" s="4"/>
      <c r="F24" s="4"/>
    </row>
    <row r="26" spans="1:9" x14ac:dyDescent="0.25">
      <c r="A26" s="6" t="s">
        <v>9</v>
      </c>
    </row>
    <row r="27" spans="1:9" x14ac:dyDescent="0.25">
      <c r="A27" s="6" t="s">
        <v>41</v>
      </c>
      <c r="B27" s="10">
        <v>1.4459435845999999</v>
      </c>
      <c r="C27" s="10">
        <v>1.4459435845999999</v>
      </c>
      <c r="D27" s="10">
        <v>1.4459435845999999</v>
      </c>
      <c r="E27" s="10">
        <v>1.4459435845999999</v>
      </c>
      <c r="F27" s="10">
        <v>1.4459435845999999</v>
      </c>
      <c r="G27" s="10">
        <v>1.4459435845999999</v>
      </c>
      <c r="H27" s="10">
        <v>1.4459435845999999</v>
      </c>
    </row>
    <row r="28" spans="1:9" x14ac:dyDescent="0.25">
      <c r="A28" s="6" t="s">
        <v>71</v>
      </c>
      <c r="B28" s="10">
        <v>1.5060713566999999</v>
      </c>
      <c r="C28" s="10">
        <v>1.5060713566999999</v>
      </c>
      <c r="D28" s="10">
        <v>1.5060713566999999</v>
      </c>
      <c r="E28" s="10">
        <v>1.5060713566999999</v>
      </c>
      <c r="F28" s="10">
        <v>1.5060713566999999</v>
      </c>
      <c r="G28" s="10">
        <v>1.5060713566999999</v>
      </c>
      <c r="H28" s="10">
        <v>1.5060713566999999</v>
      </c>
    </row>
    <row r="29" spans="1:9" x14ac:dyDescent="0.25">
      <c r="A29" s="3" t="s">
        <v>11</v>
      </c>
      <c r="B29" s="11">
        <f>SUM(C29:I29)</f>
        <v>259781</v>
      </c>
      <c r="C29" s="19">
        <v>223258</v>
      </c>
      <c r="D29" s="11">
        <v>8954</v>
      </c>
      <c r="E29" s="15">
        <v>8954</v>
      </c>
      <c r="F29" s="11">
        <v>18615</v>
      </c>
      <c r="G29" s="11"/>
    </row>
    <row r="31" spans="1:9" x14ac:dyDescent="0.25">
      <c r="A31" s="6" t="s">
        <v>12</v>
      </c>
    </row>
    <row r="32" spans="1:9" x14ac:dyDescent="0.25">
      <c r="A32" s="6" t="s">
        <v>42</v>
      </c>
      <c r="B32" s="2">
        <f t="shared" ref="B32:H32" si="5">B16/B27</f>
        <v>1307918248.0851543</v>
      </c>
      <c r="C32" s="19">
        <f t="shared" si="5"/>
        <v>1001335747.4112895</v>
      </c>
      <c r="D32" s="2">
        <f t="shared" si="5"/>
        <v>142412886.77729785</v>
      </c>
      <c r="E32" s="2">
        <f t="shared" si="5"/>
        <v>111097003.86024314</v>
      </c>
      <c r="F32" s="2">
        <f t="shared" si="5"/>
        <v>0</v>
      </c>
      <c r="G32" s="2">
        <f t="shared" si="5"/>
        <v>53072610.036323823</v>
      </c>
      <c r="H32" s="2">
        <f t="shared" si="5"/>
        <v>0</v>
      </c>
    </row>
    <row r="33" spans="1:8" x14ac:dyDescent="0.25">
      <c r="A33" s="6" t="s">
        <v>72</v>
      </c>
      <c r="B33" s="2">
        <f t="shared" ref="B33:H33" si="6">B18/B28</f>
        <v>838722544.17465615</v>
      </c>
      <c r="C33" s="19">
        <f t="shared" si="6"/>
        <v>770051163.1408813</v>
      </c>
      <c r="D33" s="2">
        <f t="shared" si="6"/>
        <v>51381363.609197445</v>
      </c>
      <c r="E33" s="2">
        <f t="shared" si="6"/>
        <v>0</v>
      </c>
      <c r="F33" s="2">
        <f t="shared" si="6"/>
        <v>0</v>
      </c>
      <c r="G33" s="2">
        <f t="shared" si="6"/>
        <v>13146787.442651058</v>
      </c>
      <c r="H33" s="2">
        <f t="shared" si="6"/>
        <v>0</v>
      </c>
    </row>
    <row r="34" spans="1:8" x14ac:dyDescent="0.25">
      <c r="A34" s="6" t="s">
        <v>43</v>
      </c>
      <c r="B34" s="2">
        <f t="shared" ref="B34:H34" si="7">B32/B10</f>
        <v>26328.093403846553</v>
      </c>
      <c r="C34" s="19">
        <f t="shared" si="7"/>
        <v>22822.467177465285</v>
      </c>
      <c r="D34" s="2">
        <f t="shared" si="7"/>
        <v>35271.085637900898</v>
      </c>
      <c r="E34" s="2">
        <f t="shared" si="7"/>
        <v>82990.789736237406</v>
      </c>
      <c r="F34" s="2" t="e">
        <f t="shared" si="7"/>
        <v>#DIV/0!</v>
      </c>
      <c r="G34" s="2">
        <f t="shared" si="7"/>
        <v>124486.18460435612</v>
      </c>
      <c r="H34" s="2" t="e">
        <f t="shared" si="7"/>
        <v>#DIV/0!</v>
      </c>
    </row>
    <row r="35" spans="1:8" x14ac:dyDescent="0.25">
      <c r="A35" s="6" t="s">
        <v>73</v>
      </c>
      <c r="B35" s="2">
        <f t="shared" ref="B35:H35" si="8">B33/B12</f>
        <v>11107.142496221211</v>
      </c>
      <c r="C35" s="19">
        <f t="shared" si="8"/>
        <v>10763.021876008181</v>
      </c>
      <c r="D35" s="2">
        <f t="shared" si="8"/>
        <v>14150.74734486297</v>
      </c>
      <c r="E35" s="2" t="e">
        <f t="shared" si="8"/>
        <v>#DIV/0!</v>
      </c>
      <c r="F35" s="2" t="e">
        <f t="shared" si="8"/>
        <v>#DIV/0!</v>
      </c>
      <c r="G35" s="2">
        <f t="shared" si="8"/>
        <v>51556.029186866894</v>
      </c>
      <c r="H35" s="2" t="e">
        <f t="shared" si="8"/>
        <v>#DIV/0!</v>
      </c>
    </row>
    <row r="37" spans="1:8" x14ac:dyDescent="0.25">
      <c r="A37" s="9" t="s">
        <v>15</v>
      </c>
    </row>
    <row r="39" spans="1:8" x14ac:dyDescent="0.25">
      <c r="A39" s="6" t="s">
        <v>16</v>
      </c>
    </row>
    <row r="40" spans="1:8" x14ac:dyDescent="0.25">
      <c r="A40" s="6" t="s">
        <v>17</v>
      </c>
      <c r="B40" s="20">
        <f>(B11/B29)*100</f>
        <v>40.335898314349393</v>
      </c>
      <c r="C40" s="20">
        <f>(C11/C29)*100</f>
        <v>39.60306013670283</v>
      </c>
      <c r="D40" s="20">
        <f t="shared" ref="D40:F40" si="9">(D11/D29)*100</f>
        <v>99.642617824436002</v>
      </c>
      <c r="E40" s="20">
        <f t="shared" si="9"/>
        <v>25.686843868662052</v>
      </c>
      <c r="F40" s="20">
        <f t="shared" si="9"/>
        <v>12.8928283642224</v>
      </c>
      <c r="G40" s="6" t="s">
        <v>115</v>
      </c>
      <c r="H40" s="6" t="s">
        <v>115</v>
      </c>
    </row>
    <row r="41" spans="1:8" x14ac:dyDescent="0.25">
      <c r="A41" s="6" t="s">
        <v>18</v>
      </c>
      <c r="B41" s="20">
        <f>(B12/B29)*100</f>
        <v>29.067560753095879</v>
      </c>
      <c r="C41" s="20">
        <f>(C12/C29)*100</f>
        <v>32.046332046332047</v>
      </c>
      <c r="D41" s="20">
        <f t="shared" ref="D41:F41" si="10">(D12/D29)*100</f>
        <v>40.551708733526915</v>
      </c>
      <c r="E41" s="20">
        <f t="shared" si="10"/>
        <v>0</v>
      </c>
      <c r="F41" s="20">
        <f t="shared" si="10"/>
        <v>0</v>
      </c>
      <c r="G41" s="6" t="s">
        <v>115</v>
      </c>
      <c r="H41" s="6" t="s">
        <v>115</v>
      </c>
    </row>
    <row r="43" spans="1:8" x14ac:dyDescent="0.25">
      <c r="A43" s="6" t="s">
        <v>19</v>
      </c>
    </row>
    <row r="44" spans="1:8" x14ac:dyDescent="0.25">
      <c r="A44" s="6" t="s">
        <v>20</v>
      </c>
      <c r="B44" s="4">
        <f t="shared" ref="B44:H44" si="11">B12/B11*100</f>
        <v>72.063749582478408</v>
      </c>
      <c r="C44" s="20">
        <f t="shared" si="11"/>
        <v>80.918827827227787</v>
      </c>
      <c r="D44" s="4">
        <f t="shared" si="11"/>
        <v>40.697153104685043</v>
      </c>
      <c r="E44" s="4">
        <f t="shared" si="11"/>
        <v>0</v>
      </c>
      <c r="F44" s="4">
        <f t="shared" si="11"/>
        <v>0</v>
      </c>
      <c r="G44" s="4">
        <f t="shared" si="11"/>
        <v>30</v>
      </c>
      <c r="H44" s="4">
        <f t="shared" si="11"/>
        <v>0</v>
      </c>
    </row>
    <row r="45" spans="1:8" x14ac:dyDescent="0.25">
      <c r="A45" s="6" t="s">
        <v>21</v>
      </c>
      <c r="B45" s="4">
        <f t="shared" ref="B45:H45" si="12">B18/B17*100</f>
        <v>24.382534823483184</v>
      </c>
      <c r="C45" s="20">
        <f t="shared" si="12"/>
        <v>39.748686599069167</v>
      </c>
      <c r="D45" s="4">
        <f t="shared" si="12"/>
        <v>17.007762220125727</v>
      </c>
      <c r="E45" s="4">
        <f t="shared" si="12"/>
        <v>0</v>
      </c>
      <c r="F45" s="4">
        <f t="shared" si="12"/>
        <v>0</v>
      </c>
      <c r="G45" s="4">
        <f t="shared" si="12"/>
        <v>12.941176470588237</v>
      </c>
      <c r="H45" s="4">
        <f t="shared" si="12"/>
        <v>0</v>
      </c>
    </row>
    <row r="46" spans="1:8" x14ac:dyDescent="0.25">
      <c r="A46" s="6" t="s">
        <v>22</v>
      </c>
      <c r="B46" s="4">
        <f t="shared" ref="B46:H46" si="13">AVERAGE(B44:B45)</f>
        <v>48.223142202980796</v>
      </c>
      <c r="C46" s="20">
        <f t="shared" si="13"/>
        <v>60.333757213148473</v>
      </c>
      <c r="D46" s="4">
        <f t="shared" si="13"/>
        <v>28.852457662405385</v>
      </c>
      <c r="E46" s="4">
        <f t="shared" si="13"/>
        <v>0</v>
      </c>
      <c r="F46" s="4">
        <f t="shared" si="13"/>
        <v>0</v>
      </c>
      <c r="G46" s="4">
        <f t="shared" si="13"/>
        <v>21.47058823529412</v>
      </c>
      <c r="H46" s="4">
        <f t="shared" si="13"/>
        <v>0</v>
      </c>
    </row>
    <row r="47" spans="1:8" x14ac:dyDescent="0.25">
      <c r="B47" s="1"/>
      <c r="C47" s="1"/>
      <c r="D47" s="1"/>
    </row>
    <row r="48" spans="1:8" x14ac:dyDescent="0.25">
      <c r="A48" s="6" t="s">
        <v>23</v>
      </c>
    </row>
    <row r="49" spans="1:8" x14ac:dyDescent="0.25">
      <c r="A49" s="6" t="s">
        <v>24</v>
      </c>
      <c r="B49" s="4">
        <f t="shared" ref="B49:H49" si="14">B12/B13*100</f>
        <v>72.063749582478408</v>
      </c>
      <c r="C49" s="20">
        <f t="shared" si="14"/>
        <v>80.918827827227787</v>
      </c>
      <c r="D49" s="4">
        <f t="shared" si="14"/>
        <v>40.697153104685043</v>
      </c>
      <c r="E49" s="4">
        <f t="shared" si="14"/>
        <v>0</v>
      </c>
      <c r="F49" s="4">
        <f t="shared" si="14"/>
        <v>0</v>
      </c>
      <c r="G49" s="4">
        <f t="shared" si="14"/>
        <v>30</v>
      </c>
      <c r="H49" s="4">
        <f t="shared" si="14"/>
        <v>0</v>
      </c>
    </row>
    <row r="50" spans="1:8" x14ac:dyDescent="0.25">
      <c r="A50" s="6" t="s">
        <v>25</v>
      </c>
      <c r="B50" s="4">
        <f t="shared" ref="B50:H50" si="15">B18/B19*100</f>
        <v>6.0956337058707959</v>
      </c>
      <c r="C50" s="20">
        <f t="shared" si="15"/>
        <v>9.9371716497672917</v>
      </c>
      <c r="D50" s="4">
        <f t="shared" si="15"/>
        <v>4.2519405550314318</v>
      </c>
      <c r="E50" s="4">
        <f t="shared" si="15"/>
        <v>0</v>
      </c>
      <c r="F50" s="4">
        <f t="shared" si="15"/>
        <v>0</v>
      </c>
      <c r="G50" s="4">
        <f t="shared" si="15"/>
        <v>3.2352941176470593</v>
      </c>
      <c r="H50" s="4">
        <f t="shared" si="15"/>
        <v>0</v>
      </c>
    </row>
    <row r="51" spans="1:8" x14ac:dyDescent="0.25">
      <c r="A51" s="6" t="s">
        <v>26</v>
      </c>
      <c r="B51" s="4">
        <f t="shared" ref="B51:H51" si="16">(B49+B50)/2</f>
        <v>39.079691644174602</v>
      </c>
      <c r="C51" s="20">
        <f t="shared" si="16"/>
        <v>45.42799973849754</v>
      </c>
      <c r="D51" s="4">
        <f t="shared" si="16"/>
        <v>22.474546829858237</v>
      </c>
      <c r="E51" s="4">
        <f t="shared" si="16"/>
        <v>0</v>
      </c>
      <c r="F51" s="4">
        <f t="shared" si="16"/>
        <v>0</v>
      </c>
      <c r="G51" s="4">
        <f t="shared" si="16"/>
        <v>16.617647058823529</v>
      </c>
      <c r="H51" s="4">
        <f t="shared" si="16"/>
        <v>0</v>
      </c>
    </row>
    <row r="53" spans="1:8" x14ac:dyDescent="0.25">
      <c r="A53" s="6" t="s">
        <v>27</v>
      </c>
      <c r="B53" s="4">
        <f>B20/B18*100</f>
        <v>100</v>
      </c>
      <c r="C53" s="20">
        <f>C20/C18*100</f>
        <v>100</v>
      </c>
      <c r="D53" s="20">
        <f t="shared" ref="D53:H53" si="17">D20/D18*100</f>
        <v>100</v>
      </c>
      <c r="E53" s="20" t="e">
        <f t="shared" si="17"/>
        <v>#DIV/0!</v>
      </c>
      <c r="F53" s="20" t="e">
        <f t="shared" si="17"/>
        <v>#DIV/0!</v>
      </c>
      <c r="G53" s="20">
        <f t="shared" si="17"/>
        <v>100</v>
      </c>
      <c r="H53" s="20" t="e">
        <f t="shared" si="17"/>
        <v>#DIV/0!</v>
      </c>
    </row>
    <row r="55" spans="1:8" x14ac:dyDescent="0.25">
      <c r="A55" s="6" t="s">
        <v>28</v>
      </c>
    </row>
    <row r="56" spans="1:8" x14ac:dyDescent="0.25">
      <c r="A56" s="6" t="s">
        <v>29</v>
      </c>
      <c r="B56" s="4">
        <f t="shared" ref="B56:H56" si="18">((B12/B10)-1)*100</f>
        <v>52.003918595210472</v>
      </c>
      <c r="C56" s="20">
        <f t="shared" si="18"/>
        <v>63.067806267806262</v>
      </c>
      <c r="D56" s="4">
        <f t="shared" si="18"/>
        <v>-10.071823660530011</v>
      </c>
      <c r="E56" s="4">
        <f t="shared" si="18"/>
        <v>-100</v>
      </c>
      <c r="F56" s="4" t="e">
        <f t="shared" si="18"/>
        <v>#DIV/0!</v>
      </c>
      <c r="G56" s="4">
        <f t="shared" si="18"/>
        <v>-40.187646598905388</v>
      </c>
      <c r="H56" s="4" t="e">
        <f t="shared" si="18"/>
        <v>#DIV/0!</v>
      </c>
    </row>
    <row r="57" spans="1:8" x14ac:dyDescent="0.25">
      <c r="A57" s="6" t="s">
        <v>30</v>
      </c>
      <c r="B57" s="4">
        <f t="shared" ref="B57:H57" si="19">((B33/B32)-1)*100</f>
        <v>-35.873473330417994</v>
      </c>
      <c r="C57" s="20">
        <f t="shared" si="19"/>
        <v>-23.097605859806592</v>
      </c>
      <c r="D57" s="4">
        <f t="shared" si="19"/>
        <v>-63.920846791381678</v>
      </c>
      <c r="E57" s="4">
        <f t="shared" si="19"/>
        <v>-100</v>
      </c>
      <c r="F57" s="4" t="e">
        <f t="shared" si="19"/>
        <v>#DIV/0!</v>
      </c>
      <c r="G57" s="4">
        <f t="shared" si="19"/>
        <v>-75.228677403178096</v>
      </c>
      <c r="H57" s="4" t="e">
        <f t="shared" si="19"/>
        <v>#DIV/0!</v>
      </c>
    </row>
    <row r="58" spans="1:8" x14ac:dyDescent="0.25">
      <c r="A58" s="6" t="s">
        <v>31</v>
      </c>
      <c r="B58" s="4">
        <f t="shared" ref="B58:H58" si="20">((B35/B34)-1)*100</f>
        <v>-57.812583213494491</v>
      </c>
      <c r="C58" s="20">
        <f t="shared" si="20"/>
        <v>-52.840235052959137</v>
      </c>
      <c r="D58" s="4">
        <f t="shared" si="20"/>
        <v>-59.880034626274323</v>
      </c>
      <c r="E58" s="4" t="e">
        <f t="shared" si="20"/>
        <v>#DIV/0!</v>
      </c>
      <c r="F58" s="4" t="e">
        <f t="shared" si="20"/>
        <v>#DIV/0!</v>
      </c>
      <c r="G58" s="4">
        <f t="shared" si="20"/>
        <v>-58.584939083221933</v>
      </c>
      <c r="H58" s="4" t="e">
        <f t="shared" si="20"/>
        <v>#DIV/0!</v>
      </c>
    </row>
    <row r="59" spans="1:8" x14ac:dyDescent="0.25">
      <c r="B59" s="1"/>
      <c r="C59" s="1"/>
      <c r="D59" s="1"/>
    </row>
    <row r="60" spans="1:8" x14ac:dyDescent="0.25">
      <c r="A60" s="6" t="s">
        <v>32</v>
      </c>
    </row>
    <row r="61" spans="1:8" x14ac:dyDescent="0.25">
      <c r="A61" s="6" t="s">
        <v>64</v>
      </c>
      <c r="B61" s="4">
        <f t="shared" ref="B61:H61" si="21">B17/(B11*3)</f>
        <v>16480.282045776272</v>
      </c>
      <c r="C61" s="20">
        <f t="shared" si="21"/>
        <v>10999.813384303923</v>
      </c>
      <c r="D61" s="4">
        <f t="shared" si="21"/>
        <v>16998.888515280581</v>
      </c>
      <c r="E61" s="4">
        <f t="shared" si="21"/>
        <v>40000</v>
      </c>
      <c r="F61" s="4">
        <f t="shared" si="21"/>
        <v>70000</v>
      </c>
      <c r="G61" s="4">
        <f t="shared" si="21"/>
        <v>60000</v>
      </c>
      <c r="H61" s="4">
        <f t="shared" si="21"/>
        <v>208148.85165140161</v>
      </c>
    </row>
    <row r="62" spans="1:8" x14ac:dyDescent="0.25">
      <c r="A62" s="6" t="s">
        <v>65</v>
      </c>
      <c r="B62" s="4">
        <f>B18/(B12*3)</f>
        <v>5576.0497227813685</v>
      </c>
      <c r="C62" s="20">
        <f t="shared" ref="C62:H62" si="22">C18/(C12*3)</f>
        <v>5403.2929863304726</v>
      </c>
      <c r="D62" s="4">
        <f t="shared" si="22"/>
        <v>7104.0117506655652</v>
      </c>
      <c r="E62" s="4" t="e">
        <f t="shared" si="22"/>
        <v>#DIV/0!</v>
      </c>
      <c r="F62" s="4" t="e">
        <f t="shared" si="22"/>
        <v>#DIV/0!</v>
      </c>
      <c r="G62" s="4">
        <f t="shared" si="22"/>
        <v>25882.352941176472</v>
      </c>
      <c r="H62" s="4" t="e">
        <f t="shared" si="22"/>
        <v>#DIV/0!</v>
      </c>
    </row>
    <row r="63" spans="1:8" x14ac:dyDescent="0.25">
      <c r="A63" s="6" t="s">
        <v>33</v>
      </c>
      <c r="B63" s="4">
        <f t="shared" ref="B63:H63" si="23">(B61/B62)*B46</f>
        <v>142.5258066461939</v>
      </c>
      <c r="C63" s="20">
        <f t="shared" si="23"/>
        <v>122.82511272246298</v>
      </c>
      <c r="D63" s="4">
        <f t="shared" si="23"/>
        <v>69.039822625452672</v>
      </c>
      <c r="E63" s="4" t="e">
        <f t="shared" si="23"/>
        <v>#DIV/0!</v>
      </c>
      <c r="F63" s="4" t="e">
        <f t="shared" si="23"/>
        <v>#DIV/0!</v>
      </c>
      <c r="G63" s="4">
        <f t="shared" si="23"/>
        <v>49.772727272727273</v>
      </c>
      <c r="H63" s="4" t="e">
        <f t="shared" si="23"/>
        <v>#DIV/0!</v>
      </c>
    </row>
    <row r="64" spans="1:8" x14ac:dyDescent="0.25">
      <c r="B64" s="1"/>
      <c r="C64" s="1"/>
      <c r="D64" s="1"/>
    </row>
    <row r="65" spans="1:8" x14ac:dyDescent="0.25">
      <c r="A65" s="6" t="s">
        <v>34</v>
      </c>
      <c r="B65" s="1"/>
      <c r="C65" s="1"/>
      <c r="D65" s="1"/>
    </row>
    <row r="66" spans="1:8" x14ac:dyDescent="0.25">
      <c r="A66" s="6" t="s">
        <v>35</v>
      </c>
      <c r="B66" s="4">
        <f>(B24/B23)*100</f>
        <v>116.61994714268076</v>
      </c>
      <c r="C66" s="4"/>
      <c r="D66" s="4"/>
      <c r="E66" s="4"/>
      <c r="F66" s="4"/>
    </row>
    <row r="67" spans="1:8" x14ac:dyDescent="0.25">
      <c r="A67" s="6" t="s">
        <v>36</v>
      </c>
      <c r="B67" s="4">
        <f>(B18/B24)*100</f>
        <v>20.907688110724266</v>
      </c>
      <c r="C67" s="4"/>
      <c r="D67" s="4"/>
      <c r="E67" s="4"/>
      <c r="F67" s="4"/>
    </row>
    <row r="68" spans="1:8" ht="15.75" thickBot="1" x14ac:dyDescent="0.3">
      <c r="A68" s="12"/>
      <c r="B68" s="12"/>
      <c r="C68" s="12"/>
      <c r="D68" s="12"/>
      <c r="E68" s="12"/>
      <c r="F68" s="12"/>
      <c r="G68" s="12"/>
      <c r="H68" s="12"/>
    </row>
    <row r="69" spans="1:8" ht="15.75" thickTop="1" x14ac:dyDescent="0.25"/>
    <row r="70" spans="1:8" x14ac:dyDescent="0.25">
      <c r="A70" s="13" t="s">
        <v>63</v>
      </c>
    </row>
    <row r="71" spans="1:8" x14ac:dyDescent="0.25">
      <c r="A71" s="25" t="s">
        <v>116</v>
      </c>
    </row>
    <row r="72" spans="1:8" x14ac:dyDescent="0.25">
      <c r="A72" s="6" t="s">
        <v>117</v>
      </c>
      <c r="B72" s="14"/>
      <c r="C72" s="14"/>
    </row>
    <row r="76" spans="1:8" x14ac:dyDescent="0.25">
      <c r="A76" s="6" t="s">
        <v>110</v>
      </c>
    </row>
    <row r="77" spans="1:8" x14ac:dyDescent="0.25">
      <c r="A77" s="6" t="s">
        <v>111</v>
      </c>
    </row>
    <row r="78" spans="1:8" x14ac:dyDescent="0.25">
      <c r="A78" s="6" t="s">
        <v>118</v>
      </c>
    </row>
  </sheetData>
  <mergeCells count="4">
    <mergeCell ref="A4:A5"/>
    <mergeCell ref="B4:B5"/>
    <mergeCell ref="A2:G2"/>
    <mergeCell ref="C4:I4"/>
  </mergeCells>
  <hyperlinks>
    <hyperlink ref="I5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topLeftCell="A40" zoomScale="90" zoomScaleNormal="90" workbookViewId="0">
      <selection activeCell="A78" sqref="A78"/>
    </sheetView>
  </sheetViews>
  <sheetFormatPr baseColWidth="10" defaultColWidth="11.42578125" defaultRowHeight="15" x14ac:dyDescent="0.25"/>
  <cols>
    <col min="1" max="1" width="46.5703125" style="6" customWidth="1"/>
    <col min="2" max="2" width="16.5703125" style="6" customWidth="1"/>
    <col min="3" max="3" width="20.28515625" style="6" bestFit="1" customWidth="1"/>
    <col min="4" max="4" width="15" style="6" customWidth="1"/>
    <col min="5" max="5" width="15.28515625" style="6" customWidth="1"/>
    <col min="6" max="6" width="15.42578125" style="6" customWidth="1"/>
    <col min="7" max="7" width="15" style="6" bestFit="1" customWidth="1"/>
    <col min="8" max="8" width="14.140625" style="6" bestFit="1" customWidth="1"/>
    <col min="9" max="9" width="12.5703125" style="6" bestFit="1" customWidth="1"/>
    <col min="10" max="16384" width="11.42578125" style="6"/>
  </cols>
  <sheetData>
    <row r="2" spans="1:9" ht="15.75" x14ac:dyDescent="0.25">
      <c r="A2" s="30" t="s">
        <v>74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23" t="s">
        <v>2</v>
      </c>
      <c r="E5" s="23" t="s">
        <v>3</v>
      </c>
      <c r="F5" s="24" t="s">
        <v>38</v>
      </c>
      <c r="G5" s="24" t="s">
        <v>37</v>
      </c>
      <c r="H5" s="24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6</v>
      </c>
      <c r="B10" s="17">
        <f>SUM(C10:I10)</f>
        <v>79737.666666666672</v>
      </c>
      <c r="C10" s="17">
        <v>65916</v>
      </c>
      <c r="D10" s="17">
        <v>8639.6666666666661</v>
      </c>
      <c r="E10" s="17">
        <v>2631.3333333333335</v>
      </c>
      <c r="F10" s="17">
        <v>1991.6666666666667</v>
      </c>
      <c r="G10" s="17">
        <v>559</v>
      </c>
      <c r="H10" s="17">
        <v>0</v>
      </c>
    </row>
    <row r="11" spans="1:9" x14ac:dyDescent="0.25">
      <c r="A11" s="3" t="s">
        <v>75</v>
      </c>
      <c r="B11" s="17">
        <f t="shared" ref="B11:B12" si="0">SUM(C11:I11)</f>
        <v>104785</v>
      </c>
      <c r="C11" s="17">
        <v>88417</v>
      </c>
      <c r="D11" s="17">
        <f>6000+2922</f>
        <v>8922</v>
      </c>
      <c r="E11" s="17">
        <v>2300</v>
      </c>
      <c r="F11" s="17">
        <v>2400</v>
      </c>
      <c r="G11" s="17">
        <v>850</v>
      </c>
      <c r="H11" s="17">
        <v>1201</v>
      </c>
      <c r="I11" s="17">
        <v>695</v>
      </c>
    </row>
    <row r="12" spans="1:9" x14ac:dyDescent="0.25">
      <c r="A12" s="3" t="s">
        <v>76</v>
      </c>
      <c r="B12" s="17">
        <f t="shared" si="0"/>
        <v>245961</v>
      </c>
      <c r="C12" s="17">
        <f>215633+689</f>
        <v>216322</v>
      </c>
      <c r="D12" s="17">
        <v>17985</v>
      </c>
      <c r="E12" s="17">
        <v>6498</v>
      </c>
      <c r="F12" s="17">
        <v>4084</v>
      </c>
      <c r="G12" s="17">
        <v>880</v>
      </c>
      <c r="H12" s="17">
        <v>0</v>
      </c>
      <c r="I12" s="17">
        <v>192</v>
      </c>
    </row>
    <row r="13" spans="1:9" x14ac:dyDescent="0.25">
      <c r="A13" s="3" t="s">
        <v>69</v>
      </c>
      <c r="B13" s="17">
        <f t="shared" ref="B13" si="1">SUM(C13:I13)</f>
        <v>104785</v>
      </c>
      <c r="C13" s="17">
        <v>88417</v>
      </c>
      <c r="D13" s="17">
        <f>6000+2922</f>
        <v>8922</v>
      </c>
      <c r="E13" s="17">
        <v>2300</v>
      </c>
      <c r="F13" s="17">
        <v>2400</v>
      </c>
      <c r="G13" s="17">
        <v>850</v>
      </c>
      <c r="H13" s="17">
        <v>1201</v>
      </c>
      <c r="I13" s="17"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6</v>
      </c>
      <c r="B16" s="2">
        <f t="shared" ref="B16:B18" si="2">SUM(C16:I16)</f>
        <v>3367770828</v>
      </c>
      <c r="C16" s="19">
        <v>2175228000</v>
      </c>
      <c r="D16" s="2">
        <v>440623000</v>
      </c>
      <c r="E16" s="2">
        <v>315760000</v>
      </c>
      <c r="F16" s="2">
        <v>335539828</v>
      </c>
      <c r="G16" s="2">
        <v>100620000</v>
      </c>
      <c r="H16" s="2">
        <v>0</v>
      </c>
    </row>
    <row r="17" spans="1:9" x14ac:dyDescent="0.25">
      <c r="A17" s="3" t="s">
        <v>75</v>
      </c>
      <c r="B17" s="2">
        <f t="shared" si="2"/>
        <v>5180659062.5</v>
      </c>
      <c r="C17" s="19">
        <f>C19/4</f>
        <v>2917711500</v>
      </c>
      <c r="D17" s="19">
        <f t="shared" ref="D17:I17" si="3">D19/4</f>
        <v>454992250</v>
      </c>
      <c r="E17" s="19">
        <f t="shared" si="3"/>
        <v>276000000</v>
      </c>
      <c r="F17" s="19">
        <f t="shared" si="3"/>
        <v>504000000</v>
      </c>
      <c r="G17" s="19">
        <f t="shared" si="3"/>
        <v>153000000</v>
      </c>
      <c r="H17" s="19">
        <f t="shared" si="3"/>
        <v>749960312.5</v>
      </c>
      <c r="I17" s="19">
        <f t="shared" si="3"/>
        <v>124995000</v>
      </c>
    </row>
    <row r="18" spans="1:9" x14ac:dyDescent="0.25">
      <c r="A18" s="3" t="s">
        <v>76</v>
      </c>
      <c r="B18" s="2">
        <f t="shared" si="2"/>
        <v>3978399000</v>
      </c>
      <c r="C18" s="19">
        <v>2516503000</v>
      </c>
      <c r="D18" s="2">
        <v>430610000</v>
      </c>
      <c r="E18" s="2">
        <v>335800000</v>
      </c>
      <c r="F18" s="2">
        <v>621326000</v>
      </c>
      <c r="G18" s="16">
        <v>62100000</v>
      </c>
      <c r="H18" s="16">
        <v>0</v>
      </c>
      <c r="I18" s="6">
        <v>12060000</v>
      </c>
    </row>
    <row r="19" spans="1:9" x14ac:dyDescent="0.25">
      <c r="A19" s="3" t="s">
        <v>69</v>
      </c>
      <c r="B19" s="2">
        <f t="shared" ref="B19:B20" si="4">SUM(C19:I19)</f>
        <v>20722636250</v>
      </c>
      <c r="C19" s="19">
        <f>287100000+595980000+10191643000+596123000</f>
        <v>11670846000</v>
      </c>
      <c r="D19" s="2">
        <f>1224000000+595969000</f>
        <v>1819969000</v>
      </c>
      <c r="E19" s="2">
        <v>1104000000</v>
      </c>
      <c r="F19" s="2">
        <v>2016000000</v>
      </c>
      <c r="G19" s="2">
        <v>612000000</v>
      </c>
      <c r="H19" s="2">
        <v>2999841250</v>
      </c>
      <c r="I19" s="2">
        <v>499980000</v>
      </c>
    </row>
    <row r="20" spans="1:9" x14ac:dyDescent="0.25">
      <c r="A20" s="3" t="s">
        <v>77</v>
      </c>
      <c r="B20" s="2">
        <f t="shared" si="4"/>
        <v>3978399000</v>
      </c>
      <c r="C20" s="19">
        <f>C18</f>
        <v>2516503000</v>
      </c>
      <c r="D20" s="19">
        <f t="shared" ref="D20:I20" si="5">D18</f>
        <v>430610000</v>
      </c>
      <c r="E20" s="19">
        <f t="shared" si="5"/>
        <v>335800000</v>
      </c>
      <c r="F20" s="19">
        <f t="shared" si="5"/>
        <v>621326000</v>
      </c>
      <c r="G20" s="19">
        <f t="shared" si="5"/>
        <v>62100000</v>
      </c>
      <c r="H20" s="19">
        <f t="shared" si="5"/>
        <v>0</v>
      </c>
      <c r="I20" s="19">
        <f t="shared" si="5"/>
        <v>12060000</v>
      </c>
    </row>
    <row r="21" spans="1:9" x14ac:dyDescent="0.25">
      <c r="B21" s="2"/>
      <c r="C21" s="2"/>
      <c r="D21" s="2"/>
    </row>
    <row r="22" spans="1:9" x14ac:dyDescent="0.25">
      <c r="A22" s="5" t="s">
        <v>8</v>
      </c>
      <c r="B22" s="2"/>
      <c r="C22" s="2"/>
      <c r="D22" s="2"/>
    </row>
    <row r="23" spans="1:9" x14ac:dyDescent="0.25">
      <c r="A23" s="3" t="s">
        <v>75</v>
      </c>
      <c r="B23" s="2">
        <f>B17</f>
        <v>5180659062.5</v>
      </c>
      <c r="C23" s="4"/>
      <c r="D23" s="4"/>
      <c r="E23" s="4"/>
      <c r="F23" s="4"/>
    </row>
    <row r="24" spans="1:9" x14ac:dyDescent="0.25">
      <c r="A24" s="3" t="s">
        <v>76</v>
      </c>
      <c r="B24" s="2">
        <v>3349185653.6500001</v>
      </c>
      <c r="C24" s="4"/>
      <c r="D24" s="4"/>
      <c r="E24" s="4"/>
      <c r="F24" s="4"/>
    </row>
    <row r="26" spans="1:9" x14ac:dyDescent="0.25">
      <c r="A26" s="6" t="s">
        <v>9</v>
      </c>
    </row>
    <row r="27" spans="1:9" x14ac:dyDescent="0.25">
      <c r="A27" s="6" t="s">
        <v>10</v>
      </c>
      <c r="B27" s="10">
        <v>1.4619442416999999</v>
      </c>
      <c r="C27" s="10">
        <v>1.4619442416999999</v>
      </c>
      <c r="D27" s="10">
        <v>1.4619442416999999</v>
      </c>
      <c r="E27" s="10">
        <v>1.4619442416999999</v>
      </c>
      <c r="F27" s="10">
        <v>1.4619442416999999</v>
      </c>
      <c r="G27" s="10">
        <v>1.4619442416999999</v>
      </c>
      <c r="H27" s="10">
        <v>1.4619442416999999</v>
      </c>
    </row>
    <row r="28" spans="1:9" x14ac:dyDescent="0.25">
      <c r="A28" s="6" t="s">
        <v>78</v>
      </c>
      <c r="B28" s="10">
        <v>1.5319088546000001</v>
      </c>
      <c r="C28" s="10">
        <v>1.5319088546000001</v>
      </c>
      <c r="D28" s="10">
        <v>1.5319088546000001</v>
      </c>
      <c r="E28" s="10">
        <v>1.5319088546000001</v>
      </c>
      <c r="F28" s="10">
        <v>1.5319088546000001</v>
      </c>
      <c r="G28" s="10">
        <v>1.5319088546000001</v>
      </c>
      <c r="H28" s="10">
        <v>1.5319088546000001</v>
      </c>
    </row>
    <row r="29" spans="1:9" x14ac:dyDescent="0.25">
      <c r="A29" s="3" t="s">
        <v>11</v>
      </c>
      <c r="B29" s="17">
        <f>SUM(C29:I29)</f>
        <v>259781</v>
      </c>
      <c r="C29" s="19">
        <v>223258</v>
      </c>
      <c r="D29" s="17">
        <v>8954</v>
      </c>
      <c r="E29" s="15">
        <v>8954</v>
      </c>
      <c r="F29" s="17">
        <v>18615</v>
      </c>
      <c r="G29" s="17"/>
    </row>
    <row r="31" spans="1:9" x14ac:dyDescent="0.25">
      <c r="A31" s="6" t="s">
        <v>12</v>
      </c>
    </row>
    <row r="32" spans="1:9" x14ac:dyDescent="0.25">
      <c r="A32" s="6" t="s">
        <v>13</v>
      </c>
      <c r="B32" s="2">
        <f t="shared" ref="B32:H32" si="6">B16/B27</f>
        <v>2303624674.5524564</v>
      </c>
      <c r="C32" s="19">
        <f t="shared" si="6"/>
        <v>1487900795.3617771</v>
      </c>
      <c r="D32" s="2">
        <f t="shared" si="6"/>
        <v>301395215.6531142</v>
      </c>
      <c r="E32" s="2">
        <f t="shared" si="6"/>
        <v>215986349.54286849</v>
      </c>
      <c r="F32" s="2">
        <f t="shared" si="6"/>
        <v>229516159.66544834</v>
      </c>
      <c r="G32" s="2">
        <f t="shared" si="6"/>
        <v>68826154.32924825</v>
      </c>
      <c r="H32" s="2">
        <f t="shared" si="6"/>
        <v>0</v>
      </c>
    </row>
    <row r="33" spans="1:8" x14ac:dyDescent="0.25">
      <c r="A33" s="6" t="s">
        <v>79</v>
      </c>
      <c r="B33" s="2">
        <f t="shared" ref="B33:H33" si="7">B18/B28</f>
        <v>2597020696.1424007</v>
      </c>
      <c r="C33" s="19">
        <f t="shared" si="7"/>
        <v>1642723711.9515765</v>
      </c>
      <c r="D33" s="2">
        <f t="shared" si="7"/>
        <v>281093746.99869949</v>
      </c>
      <c r="E33" s="2">
        <f t="shared" si="7"/>
        <v>219203641.9083702</v>
      </c>
      <c r="F33" s="2">
        <f t="shared" si="7"/>
        <v>405589404.44419307</v>
      </c>
      <c r="G33" s="2">
        <f t="shared" si="7"/>
        <v>40537659.804972574</v>
      </c>
      <c r="H33" s="2">
        <f t="shared" si="7"/>
        <v>0</v>
      </c>
    </row>
    <row r="34" spans="1:8" x14ac:dyDescent="0.25">
      <c r="A34" s="6" t="s">
        <v>14</v>
      </c>
      <c r="B34" s="2">
        <f t="shared" ref="B34:H34" si="8">B32/B10</f>
        <v>28890.043700205963</v>
      </c>
      <c r="C34" s="19">
        <f t="shared" si="8"/>
        <v>22572.680310725424</v>
      </c>
      <c r="D34" s="2">
        <f t="shared" si="8"/>
        <v>34885.051389302927</v>
      </c>
      <c r="E34" s="2">
        <f t="shared" si="8"/>
        <v>82082.473857183359</v>
      </c>
      <c r="F34" s="2">
        <f t="shared" si="8"/>
        <v>115238.23916256819</v>
      </c>
      <c r="G34" s="2">
        <f t="shared" si="8"/>
        <v>123123.71078577504</v>
      </c>
      <c r="H34" s="2" t="e">
        <f t="shared" si="8"/>
        <v>#DIV/0!</v>
      </c>
    </row>
    <row r="35" spans="1:8" x14ac:dyDescent="0.25">
      <c r="A35" s="6" t="s">
        <v>80</v>
      </c>
      <c r="B35" s="2">
        <f t="shared" ref="B35:H35" si="9">B33/B12</f>
        <v>10558.668635037266</v>
      </c>
      <c r="C35" s="19">
        <f t="shared" si="9"/>
        <v>7593.8818610755097</v>
      </c>
      <c r="D35" s="2">
        <f t="shared" si="9"/>
        <v>15629.343730814539</v>
      </c>
      <c r="E35" s="2">
        <f t="shared" si="9"/>
        <v>33734.016914184394</v>
      </c>
      <c r="F35" s="2">
        <f t="shared" si="9"/>
        <v>99311.803242946393</v>
      </c>
      <c r="G35" s="2">
        <f t="shared" si="9"/>
        <v>46065.522505650653</v>
      </c>
      <c r="H35" s="2" t="e">
        <f t="shared" si="9"/>
        <v>#DIV/0!</v>
      </c>
    </row>
    <row r="37" spans="1:8" x14ac:dyDescent="0.25">
      <c r="A37" s="9" t="s">
        <v>15</v>
      </c>
    </row>
    <row r="39" spans="1:8" x14ac:dyDescent="0.25">
      <c r="A39" s="6" t="s">
        <v>16</v>
      </c>
    </row>
    <row r="40" spans="1:8" x14ac:dyDescent="0.25">
      <c r="A40" s="6" t="s">
        <v>17</v>
      </c>
      <c r="B40" s="20">
        <f>(B11/B29)*100</f>
        <v>40.335898314349393</v>
      </c>
      <c r="C40" s="20">
        <f>(C11/C29)*100</f>
        <v>39.60306013670283</v>
      </c>
      <c r="D40" s="20">
        <f t="shared" ref="D40:F40" si="10">(D11/D29)*100</f>
        <v>99.642617824436002</v>
      </c>
      <c r="E40" s="20">
        <f t="shared" si="10"/>
        <v>25.686843868662052</v>
      </c>
      <c r="F40" s="20">
        <f t="shared" si="10"/>
        <v>12.8928283642224</v>
      </c>
      <c r="G40" s="6" t="s">
        <v>115</v>
      </c>
      <c r="H40" s="6" t="s">
        <v>115</v>
      </c>
    </row>
    <row r="41" spans="1:8" x14ac:dyDescent="0.25">
      <c r="A41" s="6" t="s">
        <v>18</v>
      </c>
      <c r="B41" s="20">
        <f>(B12/B29)*100</f>
        <v>94.68013442091609</v>
      </c>
      <c r="C41" s="20">
        <f>(C12/C29)*100</f>
        <v>96.893280419962551</v>
      </c>
      <c r="D41" s="20">
        <f t="shared" ref="D41:F41" si="11">(D12/D29)*100</f>
        <v>200.85995085995086</v>
      </c>
      <c r="E41" s="20">
        <f t="shared" si="11"/>
        <v>72.570918025463484</v>
      </c>
      <c r="F41" s="20">
        <f t="shared" si="11"/>
        <v>21.939296266451784</v>
      </c>
      <c r="G41" s="6" t="s">
        <v>115</v>
      </c>
      <c r="H41" s="6" t="s">
        <v>115</v>
      </c>
    </row>
    <row r="43" spans="1:8" x14ac:dyDescent="0.25">
      <c r="A43" s="6" t="s">
        <v>19</v>
      </c>
    </row>
    <row r="44" spans="1:8" x14ac:dyDescent="0.25">
      <c r="A44" s="6" t="s">
        <v>20</v>
      </c>
      <c r="B44" s="4">
        <f t="shared" ref="B44:H44" si="12">B12/B11*100</f>
        <v>234.72920742472684</v>
      </c>
      <c r="C44" s="20">
        <f t="shared" si="12"/>
        <v>244.66109458588278</v>
      </c>
      <c r="D44" s="4">
        <f t="shared" si="12"/>
        <v>201.58036314727639</v>
      </c>
      <c r="E44" s="4">
        <f t="shared" si="12"/>
        <v>282.52173913043481</v>
      </c>
      <c r="F44" s="4">
        <f t="shared" si="12"/>
        <v>170.16666666666666</v>
      </c>
      <c r="G44" s="4">
        <f t="shared" si="12"/>
        <v>103.5294117647059</v>
      </c>
      <c r="H44" s="4">
        <f t="shared" si="12"/>
        <v>0</v>
      </c>
    </row>
    <row r="45" spans="1:8" x14ac:dyDescent="0.25">
      <c r="A45" s="6" t="s">
        <v>21</v>
      </c>
      <c r="B45" s="4">
        <f t="shared" ref="B45:H45" si="13">B18/B17*100</f>
        <v>76.793298922090571</v>
      </c>
      <c r="C45" s="20">
        <f t="shared" si="13"/>
        <v>86.249205927316666</v>
      </c>
      <c r="D45" s="4">
        <f t="shared" si="13"/>
        <v>94.641172459530907</v>
      </c>
      <c r="E45" s="4">
        <f t="shared" si="13"/>
        <v>121.66666666666666</v>
      </c>
      <c r="F45" s="4">
        <f t="shared" si="13"/>
        <v>123.27896825396824</v>
      </c>
      <c r="G45" s="4">
        <f t="shared" si="13"/>
        <v>40.588235294117645</v>
      </c>
      <c r="H45" s="4">
        <f t="shared" si="13"/>
        <v>0</v>
      </c>
    </row>
    <row r="46" spans="1:8" x14ac:dyDescent="0.25">
      <c r="A46" s="6" t="s">
        <v>22</v>
      </c>
      <c r="B46" s="4">
        <f t="shared" ref="B46:H46" si="14">AVERAGE(B44:B45)</f>
        <v>155.7612531734087</v>
      </c>
      <c r="C46" s="20">
        <f t="shared" si="14"/>
        <v>165.45515025659972</v>
      </c>
      <c r="D46" s="4">
        <f t="shared" si="14"/>
        <v>148.11076780340363</v>
      </c>
      <c r="E46" s="4">
        <f t="shared" si="14"/>
        <v>202.09420289855075</v>
      </c>
      <c r="F46" s="4">
        <f t="shared" si="14"/>
        <v>146.72281746031746</v>
      </c>
      <c r="G46" s="4">
        <f t="shared" si="14"/>
        <v>72.058823529411768</v>
      </c>
      <c r="H46" s="4">
        <f t="shared" si="14"/>
        <v>0</v>
      </c>
    </row>
    <row r="47" spans="1:8" x14ac:dyDescent="0.25">
      <c r="B47" s="1"/>
      <c r="C47" s="1"/>
      <c r="D47" s="1"/>
    </row>
    <row r="48" spans="1:8" x14ac:dyDescent="0.25">
      <c r="A48" s="6" t="s">
        <v>23</v>
      </c>
    </row>
    <row r="49" spans="1:8" x14ac:dyDescent="0.25">
      <c r="A49" s="6" t="s">
        <v>24</v>
      </c>
      <c r="B49" s="4">
        <f t="shared" ref="B49:H49" si="15">B12/B13*100</f>
        <v>234.72920742472684</v>
      </c>
      <c r="C49" s="20">
        <f t="shared" si="15"/>
        <v>244.66109458588278</v>
      </c>
      <c r="D49" s="4">
        <f t="shared" si="15"/>
        <v>201.58036314727639</v>
      </c>
      <c r="E49" s="4">
        <f t="shared" si="15"/>
        <v>282.52173913043481</v>
      </c>
      <c r="F49" s="4">
        <f t="shared" si="15"/>
        <v>170.16666666666666</v>
      </c>
      <c r="G49" s="4">
        <f t="shared" si="15"/>
        <v>103.5294117647059</v>
      </c>
      <c r="H49" s="4">
        <f t="shared" si="15"/>
        <v>0</v>
      </c>
    </row>
    <row r="50" spans="1:8" x14ac:dyDescent="0.25">
      <c r="A50" s="6" t="s">
        <v>25</v>
      </c>
      <c r="B50" s="4">
        <f t="shared" ref="B50:H50" si="16">B18/B19*100</f>
        <v>19.198324730522643</v>
      </c>
      <c r="C50" s="20">
        <f t="shared" si="16"/>
        <v>21.562301481829167</v>
      </c>
      <c r="D50" s="4">
        <f t="shared" si="16"/>
        <v>23.660293114882727</v>
      </c>
      <c r="E50" s="4">
        <f t="shared" si="16"/>
        <v>30.416666666666664</v>
      </c>
      <c r="F50" s="4">
        <f t="shared" si="16"/>
        <v>30.819742063492061</v>
      </c>
      <c r="G50" s="4">
        <f t="shared" si="16"/>
        <v>10.147058823529411</v>
      </c>
      <c r="H50" s="4">
        <f t="shared" si="16"/>
        <v>0</v>
      </c>
    </row>
    <row r="51" spans="1:8" x14ac:dyDescent="0.25">
      <c r="A51" s="6" t="s">
        <v>26</v>
      </c>
      <c r="B51" s="4">
        <f t="shared" ref="B51:H51" si="17">(B49+B50)/2</f>
        <v>126.96376607762474</v>
      </c>
      <c r="C51" s="20">
        <f t="shared" si="17"/>
        <v>133.11169803385599</v>
      </c>
      <c r="D51" s="4">
        <f t="shared" si="17"/>
        <v>112.62032813107956</v>
      </c>
      <c r="E51" s="4">
        <f t="shared" si="17"/>
        <v>156.46920289855075</v>
      </c>
      <c r="F51" s="4">
        <f t="shared" si="17"/>
        <v>100.49320436507936</v>
      </c>
      <c r="G51" s="4">
        <f t="shared" si="17"/>
        <v>56.838235294117652</v>
      </c>
      <c r="H51" s="4">
        <f t="shared" si="17"/>
        <v>0</v>
      </c>
    </row>
    <row r="53" spans="1:8" x14ac:dyDescent="0.25">
      <c r="A53" s="6" t="s">
        <v>27</v>
      </c>
      <c r="B53" s="4">
        <f>B20/B18*100</f>
        <v>100</v>
      </c>
      <c r="C53" s="20">
        <f>C20/C18*100</f>
        <v>100</v>
      </c>
      <c r="D53" s="20">
        <f t="shared" ref="D53:H53" si="18">D20/D18*100</f>
        <v>100</v>
      </c>
      <c r="E53" s="20">
        <f t="shared" si="18"/>
        <v>100</v>
      </c>
      <c r="F53" s="20">
        <f t="shared" si="18"/>
        <v>100</v>
      </c>
      <c r="G53" s="20">
        <f t="shared" si="18"/>
        <v>100</v>
      </c>
      <c r="H53" s="20" t="e">
        <f t="shared" si="18"/>
        <v>#DIV/0!</v>
      </c>
    </row>
    <row r="55" spans="1:8" x14ac:dyDescent="0.25">
      <c r="A55" s="6" t="s">
        <v>28</v>
      </c>
    </row>
    <row r="56" spans="1:8" x14ac:dyDescent="0.25">
      <c r="A56" s="6" t="s">
        <v>29</v>
      </c>
      <c r="B56" s="4">
        <f t="shared" ref="B56:H56" si="19">((B12/B10)-1)*100</f>
        <v>208.46275077023404</v>
      </c>
      <c r="C56" s="20">
        <f t="shared" si="19"/>
        <v>228.17828751744648</v>
      </c>
      <c r="D56" s="4">
        <f t="shared" si="19"/>
        <v>108.16775338554731</v>
      </c>
      <c r="E56" s="4">
        <f t="shared" si="19"/>
        <v>146.94704839118319</v>
      </c>
      <c r="F56" s="4">
        <f t="shared" si="19"/>
        <v>105.05439330543931</v>
      </c>
      <c r="G56" s="4">
        <f t="shared" si="19"/>
        <v>57.423971377459758</v>
      </c>
      <c r="H56" s="4" t="e">
        <f t="shared" si="19"/>
        <v>#DIV/0!</v>
      </c>
    </row>
    <row r="57" spans="1:8" x14ac:dyDescent="0.25">
      <c r="A57" s="6" t="s">
        <v>30</v>
      </c>
      <c r="B57" s="4">
        <f t="shared" ref="B57:H57" si="20">((B33/B32)-1)*100</f>
        <v>12.736277086758708</v>
      </c>
      <c r="C57" s="20">
        <f t="shared" si="20"/>
        <v>10.405459629595448</v>
      </c>
      <c r="D57" s="4">
        <f t="shared" si="20"/>
        <v>-6.7358297677095003</v>
      </c>
      <c r="E57" s="4">
        <f t="shared" si="20"/>
        <v>1.4895813426686777</v>
      </c>
      <c r="F57" s="4">
        <f t="shared" si="20"/>
        <v>76.714966403845338</v>
      </c>
      <c r="G57" s="4">
        <f t="shared" si="20"/>
        <v>-41.101373162519181</v>
      </c>
      <c r="H57" s="4" t="e">
        <f t="shared" si="20"/>
        <v>#DIV/0!</v>
      </c>
    </row>
    <row r="58" spans="1:8" x14ac:dyDescent="0.25">
      <c r="A58" s="6" t="s">
        <v>31</v>
      </c>
      <c r="B58" s="4">
        <f t="shared" ref="B58:H58" si="21">((B35/B34)-1)*100</f>
        <v>-63.452223386695707</v>
      </c>
      <c r="C58" s="20">
        <f t="shared" si="21"/>
        <v>-66.358085275910852</v>
      </c>
      <c r="D58" s="4">
        <f t="shared" si="21"/>
        <v>-55.197590061148418</v>
      </c>
      <c r="E58" s="4">
        <f t="shared" si="21"/>
        <v>-58.902290185748107</v>
      </c>
      <c r="F58" s="4">
        <f t="shared" si="21"/>
        <v>-13.820443661200132</v>
      </c>
      <c r="G58" s="4">
        <f t="shared" si="21"/>
        <v>-62.585985906645703</v>
      </c>
      <c r="H58" s="4" t="e">
        <f t="shared" si="21"/>
        <v>#DIV/0!</v>
      </c>
    </row>
    <row r="59" spans="1:8" x14ac:dyDescent="0.25">
      <c r="B59" s="1"/>
      <c r="C59" s="1"/>
      <c r="D59" s="1"/>
    </row>
    <row r="60" spans="1:8" x14ac:dyDescent="0.25">
      <c r="A60" s="6" t="s">
        <v>32</v>
      </c>
    </row>
    <row r="61" spans="1:8" x14ac:dyDescent="0.25">
      <c r="A61" s="6" t="s">
        <v>64</v>
      </c>
      <c r="B61" s="4">
        <f>B17/(B11*3)</f>
        <v>16480.282045776272</v>
      </c>
      <c r="C61" s="20">
        <f t="shared" ref="C61:H61" si="22">C17/(C11*3)</f>
        <v>10999.813384303923</v>
      </c>
      <c r="D61" s="4">
        <f t="shared" si="22"/>
        <v>16998.888515280581</v>
      </c>
      <c r="E61" s="4">
        <f t="shared" si="22"/>
        <v>40000</v>
      </c>
      <c r="F61" s="4">
        <f t="shared" si="22"/>
        <v>70000</v>
      </c>
      <c r="G61" s="4">
        <f t="shared" si="22"/>
        <v>60000</v>
      </c>
      <c r="H61" s="4">
        <f t="shared" si="22"/>
        <v>208148.85165140161</v>
      </c>
    </row>
    <row r="62" spans="1:8" x14ac:dyDescent="0.25">
      <c r="A62" s="6" t="s">
        <v>65</v>
      </c>
      <c r="B62" s="4">
        <f>B18/(B12*3)</f>
        <v>5391.6393249336279</v>
      </c>
      <c r="C62" s="20">
        <f t="shared" ref="C62:H62" si="23">C18/(C12*3)</f>
        <v>3877.7116212559672</v>
      </c>
      <c r="D62" s="4">
        <f t="shared" si="23"/>
        <v>7980.9100176072652</v>
      </c>
      <c r="E62" s="4">
        <f t="shared" si="23"/>
        <v>17225.813070688419</v>
      </c>
      <c r="F62" s="4">
        <f t="shared" si="23"/>
        <v>50712.210251387529</v>
      </c>
      <c r="G62" s="4">
        <f t="shared" si="23"/>
        <v>23522.727272727272</v>
      </c>
      <c r="H62" s="4" t="e">
        <f t="shared" si="23"/>
        <v>#DIV/0!</v>
      </c>
    </row>
    <row r="63" spans="1:8" x14ac:dyDescent="0.25">
      <c r="A63" s="6" t="s">
        <v>33</v>
      </c>
      <c r="B63" s="4">
        <f t="shared" ref="B63:H63" si="24">(B61/B62)*B46</f>
        <v>476.10554590146666</v>
      </c>
      <c r="C63" s="20">
        <f t="shared" si="24"/>
        <v>469.34273459589633</v>
      </c>
      <c r="D63" s="4">
        <f t="shared" si="24"/>
        <v>315.46758756183766</v>
      </c>
      <c r="E63" s="4">
        <f t="shared" si="24"/>
        <v>469.28223839241792</v>
      </c>
      <c r="F63" s="4">
        <f t="shared" si="24"/>
        <v>202.52710681134647</v>
      </c>
      <c r="G63" s="4">
        <f t="shared" si="24"/>
        <v>183.80221653878945</v>
      </c>
      <c r="H63" s="4" t="e">
        <f t="shared" si="24"/>
        <v>#DIV/0!</v>
      </c>
    </row>
    <row r="64" spans="1:8" x14ac:dyDescent="0.25">
      <c r="B64" s="1"/>
      <c r="C64" s="1"/>
      <c r="D64" s="1"/>
    </row>
    <row r="65" spans="1:8" x14ac:dyDescent="0.25">
      <c r="A65" s="6" t="s">
        <v>34</v>
      </c>
      <c r="B65" s="1"/>
      <c r="C65" s="1"/>
      <c r="D65" s="1"/>
    </row>
    <row r="66" spans="1:8" x14ac:dyDescent="0.25">
      <c r="A66" s="6" t="s">
        <v>35</v>
      </c>
      <c r="B66" s="4">
        <f>(B24/B23)*100</f>
        <v>64.64786841297763</v>
      </c>
      <c r="C66" s="4"/>
      <c r="D66" s="4"/>
      <c r="E66" s="4"/>
      <c r="F66" s="4"/>
    </row>
    <row r="67" spans="1:8" x14ac:dyDescent="0.25">
      <c r="A67" s="6" t="s">
        <v>36</v>
      </c>
      <c r="B67" s="4">
        <f>(B18/B24)*100</f>
        <v>118.7870548670323</v>
      </c>
      <c r="C67" s="4"/>
      <c r="D67" s="4"/>
      <c r="E67" s="4"/>
      <c r="F67" s="4"/>
    </row>
    <row r="68" spans="1:8" ht="15.75" thickBot="1" x14ac:dyDescent="0.3">
      <c r="A68" s="12"/>
      <c r="B68" s="12"/>
      <c r="C68" s="12"/>
      <c r="D68" s="12"/>
      <c r="E68" s="12"/>
      <c r="F68" s="12"/>
      <c r="G68" s="12"/>
      <c r="H68" s="12"/>
    </row>
    <row r="69" spans="1:8" ht="15.75" thickTop="1" x14ac:dyDescent="0.25"/>
    <row r="70" spans="1:8" x14ac:dyDescent="0.25">
      <c r="A70" s="13" t="s">
        <v>63</v>
      </c>
    </row>
    <row r="71" spans="1:8" x14ac:dyDescent="0.25">
      <c r="A71" s="25" t="s">
        <v>116</v>
      </c>
    </row>
    <row r="72" spans="1:8" x14ac:dyDescent="0.25">
      <c r="A72" s="6" t="s">
        <v>117</v>
      </c>
      <c r="B72" s="14"/>
      <c r="C72" s="14"/>
    </row>
    <row r="76" spans="1:8" x14ac:dyDescent="0.25">
      <c r="A76" s="6" t="s">
        <v>110</v>
      </c>
    </row>
    <row r="77" spans="1:8" x14ac:dyDescent="0.25">
      <c r="A77" s="6" t="s">
        <v>111</v>
      </c>
    </row>
    <row r="78" spans="1:8" x14ac:dyDescent="0.25">
      <c r="A78" s="6" t="s">
        <v>118</v>
      </c>
    </row>
  </sheetData>
  <mergeCells count="4">
    <mergeCell ref="A4:A5"/>
    <mergeCell ref="B4:B5"/>
    <mergeCell ref="A2:G2"/>
    <mergeCell ref="C4:I4"/>
  </mergeCells>
  <hyperlinks>
    <hyperlink ref="I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zoomScale="90" zoomScaleNormal="90" workbookViewId="0">
      <selection activeCell="A78" sqref="A78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7" width="16.28515625" style="6" bestFit="1" customWidth="1"/>
    <col min="8" max="8" width="16" style="6" bestFit="1" customWidth="1"/>
    <col min="9" max="9" width="12.5703125" style="6" bestFit="1" customWidth="1"/>
    <col min="10" max="16384" width="11.42578125" style="6"/>
  </cols>
  <sheetData>
    <row r="2" spans="1:9" ht="15.75" x14ac:dyDescent="0.25">
      <c r="A2" s="30" t="s">
        <v>81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23" t="s">
        <v>2</v>
      </c>
      <c r="E5" s="23" t="s">
        <v>3</v>
      </c>
      <c r="F5" s="24" t="s">
        <v>38</v>
      </c>
      <c r="G5" s="24" t="s">
        <v>37</v>
      </c>
      <c r="H5" s="24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44</v>
      </c>
      <c r="B10" s="17">
        <f>SUM(C10:I10)</f>
        <v>96225.666666666657</v>
      </c>
      <c r="C10" s="17">
        <v>87209.333333333328</v>
      </c>
      <c r="D10" s="17">
        <v>6000.666666666667</v>
      </c>
      <c r="E10" s="17">
        <v>1381.3333333333333</v>
      </c>
      <c r="F10" s="17">
        <v>1021</v>
      </c>
      <c r="G10" s="17">
        <v>613.33333333333337</v>
      </c>
      <c r="H10" s="17">
        <v>0</v>
      </c>
    </row>
    <row r="11" spans="1:9" x14ac:dyDescent="0.25">
      <c r="A11" s="3" t="s">
        <v>82</v>
      </c>
      <c r="B11" s="17">
        <f t="shared" ref="B11:B12" si="0">SUM(C11:I11)</f>
        <v>107942</v>
      </c>
      <c r="C11" s="17">
        <f>2175+4515+77210+8438</f>
        <v>92338</v>
      </c>
      <c r="D11" s="17">
        <f>6000+2922</f>
        <v>8922</v>
      </c>
      <c r="E11" s="17">
        <v>2300</v>
      </c>
      <c r="F11" s="17">
        <v>2400</v>
      </c>
      <c r="G11" s="17">
        <v>850</v>
      </c>
      <c r="H11" s="17">
        <v>437</v>
      </c>
      <c r="I11" s="17">
        <v>695</v>
      </c>
    </row>
    <row r="12" spans="1:9" x14ac:dyDescent="0.25">
      <c r="A12" s="3" t="s">
        <v>83</v>
      </c>
      <c r="B12" s="17">
        <f t="shared" si="0"/>
        <v>428985</v>
      </c>
      <c r="C12" s="17">
        <f>14044+364536</f>
        <v>378580</v>
      </c>
      <c r="D12" s="17">
        <v>34552</v>
      </c>
      <c r="E12" s="17">
        <v>8886</v>
      </c>
      <c r="F12" s="17">
        <v>5060</v>
      </c>
      <c r="G12" s="17">
        <v>1661</v>
      </c>
      <c r="H12" s="17">
        <v>0</v>
      </c>
      <c r="I12" s="17">
        <v>246</v>
      </c>
    </row>
    <row r="13" spans="1:9" x14ac:dyDescent="0.25">
      <c r="A13" s="3" t="s">
        <v>69</v>
      </c>
      <c r="B13" s="17">
        <f t="shared" ref="B13" si="1">SUM(C13:I13)</f>
        <v>107942</v>
      </c>
      <c r="C13" s="17">
        <f>2175+4515+77210+8438</f>
        <v>92338</v>
      </c>
      <c r="D13" s="17">
        <f>6000+2922</f>
        <v>8922</v>
      </c>
      <c r="E13" s="17">
        <v>2300</v>
      </c>
      <c r="F13" s="17">
        <v>2400</v>
      </c>
      <c r="G13" s="17">
        <v>850</v>
      </c>
      <c r="H13" s="17">
        <v>437</v>
      </c>
      <c r="I13" s="17"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44</v>
      </c>
      <c r="B16" s="2">
        <f t="shared" ref="B16:B20" si="2">SUM(C16:I16)</f>
        <v>3693816690.46</v>
      </c>
      <c r="C16" s="19">
        <v>2877908000</v>
      </c>
      <c r="D16" s="2">
        <v>306034000</v>
      </c>
      <c r="E16" s="2">
        <v>165760000</v>
      </c>
      <c r="F16" s="2">
        <v>233714690.46000022</v>
      </c>
      <c r="G16" s="16">
        <v>110400000</v>
      </c>
      <c r="H16" s="16">
        <v>0</v>
      </c>
    </row>
    <row r="17" spans="1:9" x14ac:dyDescent="0.25">
      <c r="A17" s="3" t="s">
        <v>82</v>
      </c>
      <c r="B17" s="2">
        <f t="shared" si="2"/>
        <v>5180659062.5</v>
      </c>
      <c r="C17" s="19">
        <f>C19/4</f>
        <v>2917711500</v>
      </c>
      <c r="D17" s="19">
        <f t="shared" ref="D17:I17" si="3">D19/4</f>
        <v>454992250</v>
      </c>
      <c r="E17" s="19">
        <f t="shared" si="3"/>
        <v>276000000</v>
      </c>
      <c r="F17" s="19">
        <f t="shared" si="3"/>
        <v>504000000</v>
      </c>
      <c r="G17" s="19">
        <f t="shared" si="3"/>
        <v>153000000</v>
      </c>
      <c r="H17" s="19">
        <f t="shared" si="3"/>
        <v>749960312.5</v>
      </c>
      <c r="I17" s="19">
        <f t="shared" si="3"/>
        <v>124995000</v>
      </c>
    </row>
    <row r="18" spans="1:9" x14ac:dyDescent="0.25">
      <c r="A18" s="3" t="s">
        <v>83</v>
      </c>
      <c r="B18" s="2">
        <f t="shared" si="2"/>
        <v>5518382000</v>
      </c>
      <c r="C18" s="19">
        <v>4024680000</v>
      </c>
      <c r="D18" s="2">
        <v>564859000</v>
      </c>
      <c r="E18" s="2">
        <v>377040000</v>
      </c>
      <c r="F18" s="2">
        <v>417703000</v>
      </c>
      <c r="G18" s="16">
        <v>119340000</v>
      </c>
      <c r="H18" s="16">
        <v>0</v>
      </c>
      <c r="I18" s="6">
        <v>14760000</v>
      </c>
    </row>
    <row r="19" spans="1:9" x14ac:dyDescent="0.25">
      <c r="A19" s="3" t="s">
        <v>69</v>
      </c>
      <c r="B19" s="2">
        <f t="shared" ref="B19" si="4">SUM(C19:I19)</f>
        <v>20722636250</v>
      </c>
      <c r="C19" s="19">
        <f>287100000+595980000+10191643000+596123000</f>
        <v>11670846000</v>
      </c>
      <c r="D19" s="2">
        <f>1224000000+595969000</f>
        <v>1819969000</v>
      </c>
      <c r="E19" s="2">
        <v>1104000000</v>
      </c>
      <c r="F19" s="2">
        <v>2016000000</v>
      </c>
      <c r="G19" s="2">
        <v>612000000</v>
      </c>
      <c r="H19" s="2">
        <v>2999841250</v>
      </c>
      <c r="I19" s="2">
        <v>499980000</v>
      </c>
    </row>
    <row r="20" spans="1:9" x14ac:dyDescent="0.25">
      <c r="A20" s="3" t="s">
        <v>84</v>
      </c>
      <c r="B20" s="2">
        <f t="shared" si="2"/>
        <v>5518382000</v>
      </c>
      <c r="C20" s="19">
        <f>C18</f>
        <v>4024680000</v>
      </c>
      <c r="D20" s="19">
        <f t="shared" ref="D20:I20" si="5">D18</f>
        <v>564859000</v>
      </c>
      <c r="E20" s="19">
        <f t="shared" si="5"/>
        <v>377040000</v>
      </c>
      <c r="F20" s="19">
        <f t="shared" si="5"/>
        <v>417703000</v>
      </c>
      <c r="G20" s="19">
        <f t="shared" si="5"/>
        <v>119340000</v>
      </c>
      <c r="H20" s="19">
        <f t="shared" si="5"/>
        <v>0</v>
      </c>
      <c r="I20" s="19">
        <f t="shared" si="5"/>
        <v>14760000</v>
      </c>
    </row>
    <row r="21" spans="1:9" x14ac:dyDescent="0.25">
      <c r="B21" s="2"/>
      <c r="C21" s="2"/>
      <c r="D21" s="2"/>
    </row>
    <row r="22" spans="1:9" x14ac:dyDescent="0.25">
      <c r="A22" s="5" t="s">
        <v>8</v>
      </c>
      <c r="B22" s="2"/>
      <c r="C22" s="2"/>
      <c r="D22" s="2"/>
    </row>
    <row r="23" spans="1:9" x14ac:dyDescent="0.25">
      <c r="A23" s="3" t="s">
        <v>82</v>
      </c>
      <c r="B23" s="2">
        <f>B17</f>
        <v>5180659062.5</v>
      </c>
      <c r="C23" s="4"/>
      <c r="D23" s="4"/>
      <c r="E23" s="4"/>
      <c r="F23" s="4"/>
    </row>
    <row r="24" spans="1:9" x14ac:dyDescent="0.25">
      <c r="A24" s="3" t="s">
        <v>83</v>
      </c>
      <c r="B24" s="2">
        <v>3489801115.5</v>
      </c>
      <c r="C24" s="4"/>
      <c r="D24" s="4"/>
      <c r="E24" s="4"/>
      <c r="F24" s="4"/>
    </row>
    <row r="26" spans="1:9" x14ac:dyDescent="0.25">
      <c r="A26" s="6" t="s">
        <v>9</v>
      </c>
    </row>
    <row r="27" spans="1:9" x14ac:dyDescent="0.25">
      <c r="A27" s="6" t="s">
        <v>45</v>
      </c>
      <c r="B27" s="10">
        <v>1.4773597119666666</v>
      </c>
      <c r="C27" s="10">
        <v>1.4773597119666666</v>
      </c>
      <c r="D27" s="10">
        <v>1.4773597119666666</v>
      </c>
      <c r="E27" s="10">
        <v>1.4773597119666666</v>
      </c>
      <c r="F27" s="10">
        <v>1.4773597119666666</v>
      </c>
      <c r="G27" s="10">
        <v>1.4773597119666666</v>
      </c>
      <c r="H27" s="10">
        <v>1.4773597119666666</v>
      </c>
    </row>
    <row r="28" spans="1:9" x14ac:dyDescent="0.25">
      <c r="A28" s="6" t="s">
        <v>85</v>
      </c>
      <c r="B28" s="10">
        <v>1.5396358920333333</v>
      </c>
      <c r="C28" s="10">
        <v>1.5396358920333333</v>
      </c>
      <c r="D28" s="10">
        <v>1.5396358920333333</v>
      </c>
      <c r="E28" s="10">
        <v>1.5396358920333333</v>
      </c>
      <c r="F28" s="10">
        <v>1.5396358920333333</v>
      </c>
      <c r="G28" s="10">
        <v>1.5396358920333333</v>
      </c>
      <c r="H28" s="10">
        <v>1.5396358920333333</v>
      </c>
    </row>
    <row r="29" spans="1:9" x14ac:dyDescent="0.25">
      <c r="A29" s="3" t="s">
        <v>11</v>
      </c>
      <c r="B29" s="17">
        <f>SUM(C29:I29)</f>
        <v>259781</v>
      </c>
      <c r="C29" s="19">
        <v>223258</v>
      </c>
      <c r="D29" s="17">
        <v>8954</v>
      </c>
      <c r="E29" s="15">
        <v>8954</v>
      </c>
      <c r="F29" s="17">
        <v>18615</v>
      </c>
      <c r="G29" s="17"/>
    </row>
    <row r="31" spans="1:9" x14ac:dyDescent="0.25">
      <c r="A31" s="6" t="s">
        <v>12</v>
      </c>
    </row>
    <row r="32" spans="1:9" x14ac:dyDescent="0.25">
      <c r="A32" s="6" t="s">
        <v>46</v>
      </c>
      <c r="B32" s="2">
        <f t="shared" ref="B32:H32" si="6">B16/B27</f>
        <v>2500282538.1929345</v>
      </c>
      <c r="C32" s="19">
        <f t="shared" si="6"/>
        <v>1948007635.9798105</v>
      </c>
      <c r="D32" s="2">
        <f t="shared" si="6"/>
        <v>207149279.57024524</v>
      </c>
      <c r="E32" s="2">
        <f t="shared" si="6"/>
        <v>112200162.66677509</v>
      </c>
      <c r="F32" s="2">
        <f t="shared" si="6"/>
        <v>158197552.40846413</v>
      </c>
      <c r="G32" s="2">
        <f t="shared" si="6"/>
        <v>74727907.567639783</v>
      </c>
      <c r="H32" s="2">
        <f t="shared" si="6"/>
        <v>0</v>
      </c>
    </row>
    <row r="33" spans="1:8" x14ac:dyDescent="0.25">
      <c r="A33" s="6" t="s">
        <v>86</v>
      </c>
      <c r="B33" s="2">
        <f t="shared" ref="B33:H33" si="7">B18/B28</f>
        <v>3584212363.8155131</v>
      </c>
      <c r="C33" s="19">
        <f t="shared" si="7"/>
        <v>2614046620.2595291</v>
      </c>
      <c r="D33" s="2">
        <f t="shared" si="7"/>
        <v>366878300.85203725</v>
      </c>
      <c r="E33" s="2">
        <f t="shared" si="7"/>
        <v>244889068.87073079</v>
      </c>
      <c r="F33" s="2">
        <f t="shared" si="7"/>
        <v>271299858.72721958</v>
      </c>
      <c r="G33" s="2">
        <f t="shared" si="7"/>
        <v>77511832.9064105</v>
      </c>
      <c r="H33" s="2">
        <f t="shared" si="7"/>
        <v>0</v>
      </c>
    </row>
    <row r="34" spans="1:8" x14ac:dyDescent="0.25">
      <c r="A34" s="6" t="s">
        <v>47</v>
      </c>
      <c r="B34" s="2">
        <f t="shared" ref="B34:H34" si="8">B32/B10</f>
        <v>25983.530432209023</v>
      </c>
      <c r="C34" s="19">
        <f t="shared" si="8"/>
        <v>22337.14628380537</v>
      </c>
      <c r="D34" s="2">
        <f t="shared" si="8"/>
        <v>34521.044256790119</v>
      </c>
      <c r="E34" s="2">
        <f t="shared" si="8"/>
        <v>81225.986486564987</v>
      </c>
      <c r="F34" s="2">
        <f t="shared" si="8"/>
        <v>154943.73399457798</v>
      </c>
      <c r="G34" s="2">
        <f t="shared" si="8"/>
        <v>121838.97972984746</v>
      </c>
      <c r="H34" s="2" t="e">
        <f t="shared" si="8"/>
        <v>#DIV/0!</v>
      </c>
    </row>
    <row r="35" spans="1:8" x14ac:dyDescent="0.25">
      <c r="A35" s="6" t="s">
        <v>87</v>
      </c>
      <c r="B35" s="2">
        <f t="shared" ref="B35:H35" si="9">B33/B12</f>
        <v>8355.0995112078817</v>
      </c>
      <c r="C35" s="19">
        <f t="shared" si="9"/>
        <v>6904.8724714975151</v>
      </c>
      <c r="D35" s="2">
        <f t="shared" si="9"/>
        <v>10618.149480552132</v>
      </c>
      <c r="E35" s="2">
        <f t="shared" si="9"/>
        <v>27558.976915454736</v>
      </c>
      <c r="F35" s="2">
        <f t="shared" si="9"/>
        <v>53616.572870992015</v>
      </c>
      <c r="G35" s="2">
        <f t="shared" si="9"/>
        <v>46665.763339199577</v>
      </c>
      <c r="H35" s="2" t="e">
        <f t="shared" si="9"/>
        <v>#DIV/0!</v>
      </c>
    </row>
    <row r="37" spans="1:8" x14ac:dyDescent="0.25">
      <c r="A37" s="9" t="s">
        <v>15</v>
      </c>
    </row>
    <row r="39" spans="1:8" x14ac:dyDescent="0.25">
      <c r="A39" s="6" t="s">
        <v>16</v>
      </c>
    </row>
    <row r="40" spans="1:8" x14ac:dyDescent="0.25">
      <c r="A40" s="6" t="s">
        <v>17</v>
      </c>
      <c r="B40" s="20">
        <f>(B11/B29)*100</f>
        <v>41.55115270169874</v>
      </c>
      <c r="C40" s="20">
        <f>(C11/C29)*100</f>
        <v>41.359324189950641</v>
      </c>
      <c r="D40" s="20">
        <f t="shared" ref="D40:F40" si="10">(D11/D29)*100</f>
        <v>99.642617824436002</v>
      </c>
      <c r="E40" s="20">
        <f t="shared" si="10"/>
        <v>25.686843868662052</v>
      </c>
      <c r="F40" s="20">
        <f t="shared" si="10"/>
        <v>12.8928283642224</v>
      </c>
      <c r="G40" s="17" t="s">
        <v>60</v>
      </c>
      <c r="H40" s="17" t="s">
        <v>60</v>
      </c>
    </row>
    <row r="41" spans="1:8" x14ac:dyDescent="0.25">
      <c r="A41" s="6" t="s">
        <v>18</v>
      </c>
      <c r="B41" s="20">
        <f>(B12/B29)*100</f>
        <v>165.13332383815597</v>
      </c>
      <c r="C41" s="20">
        <f>(C12/C29)*100</f>
        <v>169.57063128756863</v>
      </c>
      <c r="D41" s="20">
        <f t="shared" ref="D41:F41" si="11">(D12/D29)*100</f>
        <v>385.88340406522224</v>
      </c>
      <c r="E41" s="20">
        <f t="shared" si="11"/>
        <v>99.240562876926504</v>
      </c>
      <c r="F41" s="20">
        <f t="shared" si="11"/>
        <v>27.182379801235562</v>
      </c>
      <c r="G41" s="17" t="s">
        <v>60</v>
      </c>
      <c r="H41" s="17" t="s">
        <v>60</v>
      </c>
    </row>
    <row r="43" spans="1:8" x14ac:dyDescent="0.25">
      <c r="A43" s="6" t="s">
        <v>19</v>
      </c>
    </row>
    <row r="44" spans="1:8" x14ac:dyDescent="0.25">
      <c r="A44" s="6" t="s">
        <v>20</v>
      </c>
      <c r="B44" s="4">
        <f t="shared" ref="B44:H44" si="12">B12/B11*100</f>
        <v>397.42176353967869</v>
      </c>
      <c r="C44" s="20">
        <f t="shared" si="12"/>
        <v>409.99371872901736</v>
      </c>
      <c r="D44" s="4">
        <f t="shared" si="12"/>
        <v>387.26742882761715</v>
      </c>
      <c r="E44" s="4">
        <f t="shared" si="12"/>
        <v>386.3478260869565</v>
      </c>
      <c r="F44" s="4">
        <f t="shared" si="12"/>
        <v>210.83333333333334</v>
      </c>
      <c r="G44" s="4">
        <f t="shared" si="12"/>
        <v>195.41176470588235</v>
      </c>
      <c r="H44" s="4">
        <f t="shared" si="12"/>
        <v>0</v>
      </c>
    </row>
    <row r="45" spans="1:8" x14ac:dyDescent="0.25">
      <c r="A45" s="6" t="s">
        <v>21</v>
      </c>
      <c r="B45" s="4">
        <f t="shared" ref="B45:H45" si="13">B18/B17*100</f>
        <v>106.51891841222663</v>
      </c>
      <c r="C45" s="20">
        <f t="shared" si="13"/>
        <v>137.93961466032542</v>
      </c>
      <c r="D45" s="4">
        <f t="shared" si="13"/>
        <v>124.14694975573759</v>
      </c>
      <c r="E45" s="4">
        <f t="shared" si="13"/>
        <v>136.60869565217391</v>
      </c>
      <c r="F45" s="4">
        <f t="shared" si="13"/>
        <v>82.87757936507937</v>
      </c>
      <c r="G45" s="4">
        <f t="shared" si="13"/>
        <v>78</v>
      </c>
      <c r="H45" s="4">
        <f t="shared" si="13"/>
        <v>0</v>
      </c>
    </row>
    <row r="46" spans="1:8" x14ac:dyDescent="0.25">
      <c r="A46" s="6" t="s">
        <v>22</v>
      </c>
      <c r="B46" s="4">
        <f t="shared" ref="B46:H46" si="14">AVERAGE(B44:B45)</f>
        <v>251.97034097595267</v>
      </c>
      <c r="C46" s="20">
        <f t="shared" si="14"/>
        <v>273.9666666946714</v>
      </c>
      <c r="D46" s="4">
        <f t="shared" si="14"/>
        <v>255.70718929167737</v>
      </c>
      <c r="E46" s="4">
        <f t="shared" si="14"/>
        <v>261.47826086956519</v>
      </c>
      <c r="F46" s="4">
        <f t="shared" si="14"/>
        <v>146.85545634920635</v>
      </c>
      <c r="G46" s="4">
        <f t="shared" si="14"/>
        <v>136.70588235294116</v>
      </c>
      <c r="H46" s="4">
        <f t="shared" si="14"/>
        <v>0</v>
      </c>
    </row>
    <row r="47" spans="1:8" x14ac:dyDescent="0.25">
      <c r="B47" s="1"/>
      <c r="C47" s="1"/>
      <c r="D47" s="1"/>
    </row>
    <row r="48" spans="1:8" x14ac:dyDescent="0.25">
      <c r="A48" s="6" t="s">
        <v>23</v>
      </c>
    </row>
    <row r="49" spans="1:8" x14ac:dyDescent="0.25">
      <c r="A49" s="6" t="s">
        <v>24</v>
      </c>
      <c r="B49" s="4">
        <f t="shared" ref="B49:H49" si="15">B12/B13*100</f>
        <v>397.42176353967869</v>
      </c>
      <c r="C49" s="20">
        <f t="shared" si="15"/>
        <v>409.99371872901736</v>
      </c>
      <c r="D49" s="4">
        <f t="shared" si="15"/>
        <v>387.26742882761715</v>
      </c>
      <c r="E49" s="4">
        <f t="shared" si="15"/>
        <v>386.3478260869565</v>
      </c>
      <c r="F49" s="4">
        <f t="shared" si="15"/>
        <v>210.83333333333334</v>
      </c>
      <c r="G49" s="4">
        <f t="shared" si="15"/>
        <v>195.41176470588235</v>
      </c>
      <c r="H49" s="4">
        <f t="shared" si="15"/>
        <v>0</v>
      </c>
    </row>
    <row r="50" spans="1:8" x14ac:dyDescent="0.25">
      <c r="A50" s="6" t="s">
        <v>25</v>
      </c>
      <c r="B50" s="4">
        <f t="shared" ref="B50:H50" si="16">B18/B19*100</f>
        <v>26.629729603056656</v>
      </c>
      <c r="C50" s="20">
        <f t="shared" si="16"/>
        <v>34.484903665081355</v>
      </c>
      <c r="D50" s="4">
        <f t="shared" si="16"/>
        <v>31.036737438934399</v>
      </c>
      <c r="E50" s="4">
        <f t="shared" si="16"/>
        <v>34.152173913043477</v>
      </c>
      <c r="F50" s="4">
        <f t="shared" si="16"/>
        <v>20.719394841269843</v>
      </c>
      <c r="G50" s="4">
        <f t="shared" si="16"/>
        <v>19.5</v>
      </c>
      <c r="H50" s="4">
        <f t="shared" si="16"/>
        <v>0</v>
      </c>
    </row>
    <row r="51" spans="1:8" x14ac:dyDescent="0.25">
      <c r="A51" s="6" t="s">
        <v>26</v>
      </c>
      <c r="B51" s="4">
        <f t="shared" ref="B51:H51" si="17">(B49+B50)/2</f>
        <v>212.02574657136768</v>
      </c>
      <c r="C51" s="20">
        <f t="shared" si="17"/>
        <v>222.23931119704935</v>
      </c>
      <c r="D51" s="4">
        <f t="shared" si="17"/>
        <v>209.15208313327577</v>
      </c>
      <c r="E51" s="4">
        <f t="shared" si="17"/>
        <v>210.25</v>
      </c>
      <c r="F51" s="4">
        <f t="shared" si="17"/>
        <v>115.77636408730159</v>
      </c>
      <c r="G51" s="4">
        <f t="shared" si="17"/>
        <v>107.45588235294117</v>
      </c>
      <c r="H51" s="4">
        <f t="shared" si="17"/>
        <v>0</v>
      </c>
    </row>
    <row r="53" spans="1:8" x14ac:dyDescent="0.25">
      <c r="A53" s="6" t="s">
        <v>27</v>
      </c>
      <c r="B53" s="4">
        <f>B20/B18*100</f>
        <v>100</v>
      </c>
      <c r="C53" s="20">
        <f>C20/C18*100</f>
        <v>100</v>
      </c>
      <c r="D53" s="20">
        <f t="shared" ref="D53:H53" si="18">D20/D18*100</f>
        <v>100</v>
      </c>
      <c r="E53" s="20">
        <f t="shared" si="18"/>
        <v>100</v>
      </c>
      <c r="F53" s="20">
        <f t="shared" si="18"/>
        <v>100</v>
      </c>
      <c r="G53" s="20">
        <f t="shared" si="18"/>
        <v>100</v>
      </c>
      <c r="H53" s="20" t="e">
        <f t="shared" si="18"/>
        <v>#DIV/0!</v>
      </c>
    </row>
    <row r="55" spans="1:8" x14ac:dyDescent="0.25">
      <c r="A55" s="6" t="s">
        <v>28</v>
      </c>
    </row>
    <row r="56" spans="1:8" x14ac:dyDescent="0.25">
      <c r="A56" s="6" t="s">
        <v>29</v>
      </c>
      <c r="B56" s="4">
        <f t="shared" ref="B56:H56" si="19">((B12/B10)-1)*100</f>
        <v>345.81140859853753</v>
      </c>
      <c r="C56" s="20">
        <f t="shared" si="19"/>
        <v>334.10491231825341</v>
      </c>
      <c r="D56" s="4">
        <f t="shared" si="19"/>
        <v>475.80268859015666</v>
      </c>
      <c r="E56" s="4">
        <f t="shared" si="19"/>
        <v>543.29150579150576</v>
      </c>
      <c r="F56" s="4">
        <f t="shared" si="19"/>
        <v>395.59255631733595</v>
      </c>
      <c r="G56" s="4">
        <f t="shared" si="19"/>
        <v>170.81521739130432</v>
      </c>
      <c r="H56" s="4" t="e">
        <f t="shared" si="19"/>
        <v>#DIV/0!</v>
      </c>
    </row>
    <row r="57" spans="1:8" x14ac:dyDescent="0.25">
      <c r="A57" s="6" t="s">
        <v>30</v>
      </c>
      <c r="B57" s="4">
        <f t="shared" ref="B57:H57" si="20">((B33/B32)-1)*100</f>
        <v>43.352293553431089</v>
      </c>
      <c r="C57" s="20">
        <f t="shared" si="20"/>
        <v>34.1907789260135</v>
      </c>
      <c r="D57" s="4">
        <f t="shared" si="20"/>
        <v>77.108171272991171</v>
      </c>
      <c r="E57" s="4">
        <f t="shared" si="20"/>
        <v>118.26088576897203</v>
      </c>
      <c r="F57" s="4">
        <f t="shared" si="20"/>
        <v>71.494346528653409</v>
      </c>
      <c r="G57" s="4">
        <f t="shared" si="20"/>
        <v>3.7254158846222962</v>
      </c>
      <c r="H57" s="4" t="e">
        <f t="shared" si="20"/>
        <v>#DIV/0!</v>
      </c>
    </row>
    <row r="58" spans="1:8" x14ac:dyDescent="0.25">
      <c r="A58" s="6" t="s">
        <v>31</v>
      </c>
      <c r="B58" s="4">
        <f t="shared" ref="B58:H58" si="21">((B35/B34)-1)*100</f>
        <v>-67.844633226395786</v>
      </c>
      <c r="C58" s="20">
        <f t="shared" si="21"/>
        <v>-69.087938164672309</v>
      </c>
      <c r="D58" s="4">
        <f t="shared" si="21"/>
        <v>-69.241517140769588</v>
      </c>
      <c r="E58" s="4">
        <f t="shared" si="21"/>
        <v>-66.071231501739817</v>
      </c>
      <c r="F58" s="4">
        <f t="shared" si="21"/>
        <v>-65.396101224159068</v>
      </c>
      <c r="G58" s="4">
        <f t="shared" si="21"/>
        <v>-61.698822952497487</v>
      </c>
      <c r="H58" s="4" t="e">
        <f t="shared" si="21"/>
        <v>#DIV/0!</v>
      </c>
    </row>
    <row r="59" spans="1:8" x14ac:dyDescent="0.25">
      <c r="B59" s="1"/>
      <c r="C59" s="1"/>
      <c r="D59" s="1"/>
    </row>
    <row r="60" spans="1:8" x14ac:dyDescent="0.25">
      <c r="A60" s="6" t="s">
        <v>32</v>
      </c>
    </row>
    <row r="61" spans="1:8" x14ac:dyDescent="0.25">
      <c r="A61" s="6" t="s">
        <v>64</v>
      </c>
      <c r="B61" s="4">
        <f t="shared" ref="B61:H61" si="22">B17/(B11*3)</f>
        <v>15998.280133466738</v>
      </c>
      <c r="C61" s="20">
        <f t="shared" si="22"/>
        <v>10532.72217288657</v>
      </c>
      <c r="D61" s="4">
        <f t="shared" si="22"/>
        <v>16998.888515280581</v>
      </c>
      <c r="E61" s="4">
        <f t="shared" si="22"/>
        <v>40000</v>
      </c>
      <c r="F61" s="4">
        <f t="shared" si="22"/>
        <v>70000</v>
      </c>
      <c r="G61" s="4">
        <f t="shared" si="22"/>
        <v>60000</v>
      </c>
      <c r="H61" s="4">
        <f t="shared" si="22"/>
        <v>572052.10717009916</v>
      </c>
    </row>
    <row r="62" spans="1:8" x14ac:dyDescent="0.25">
      <c r="A62" s="6" t="s">
        <v>65</v>
      </c>
      <c r="B62" s="4">
        <f>B18/(B12*3)</f>
        <v>4287.9370296552715</v>
      </c>
      <c r="C62" s="20">
        <f t="shared" ref="C62:H62" si="23">C18/(C12*3)</f>
        <v>3543.6631623434942</v>
      </c>
      <c r="D62" s="4">
        <f t="shared" si="23"/>
        <v>5449.3613490777188</v>
      </c>
      <c r="E62" s="4">
        <f t="shared" si="23"/>
        <v>14143.596668917398</v>
      </c>
      <c r="F62" s="4">
        <f t="shared" si="23"/>
        <v>27516.666666666668</v>
      </c>
      <c r="G62" s="4">
        <f t="shared" si="23"/>
        <v>23949.428055388322</v>
      </c>
      <c r="H62" s="4" t="e">
        <f t="shared" si="23"/>
        <v>#DIV/0!</v>
      </c>
    </row>
    <row r="63" spans="1:8" x14ac:dyDescent="0.25">
      <c r="A63" s="6" t="s">
        <v>33</v>
      </c>
      <c r="B63" s="4">
        <f t="shared" ref="B63:H63" si="24">(B61/B62)*B46</f>
        <v>940.10058272299364</v>
      </c>
      <c r="C63" s="20">
        <f t="shared" si="24"/>
        <v>814.30278576998728</v>
      </c>
      <c r="D63" s="4">
        <f t="shared" si="24"/>
        <v>797.66007883853013</v>
      </c>
      <c r="E63" s="4">
        <f t="shared" si="24"/>
        <v>739.49580715689251</v>
      </c>
      <c r="F63" s="4">
        <f t="shared" si="24"/>
        <v>373.58747223904703</v>
      </c>
      <c r="G63" s="4">
        <f t="shared" si="24"/>
        <v>342.48638097773039</v>
      </c>
      <c r="H63" s="4" t="e">
        <f t="shared" si="24"/>
        <v>#DIV/0!</v>
      </c>
    </row>
    <row r="64" spans="1:8" x14ac:dyDescent="0.25">
      <c r="B64" s="1"/>
      <c r="C64" s="1"/>
      <c r="D64" s="1"/>
    </row>
    <row r="65" spans="1:8" x14ac:dyDescent="0.25">
      <c r="A65" s="6" t="s">
        <v>34</v>
      </c>
      <c r="B65" s="1"/>
      <c r="C65" s="1"/>
      <c r="D65" s="1"/>
    </row>
    <row r="66" spans="1:8" x14ac:dyDescent="0.25">
      <c r="A66" s="6" t="s">
        <v>35</v>
      </c>
      <c r="B66" s="4">
        <f>(B24/B23)*100</f>
        <v>67.362107280148777</v>
      </c>
      <c r="C66" s="4"/>
      <c r="D66" s="4"/>
      <c r="E66" s="4"/>
      <c r="F66" s="4"/>
    </row>
    <row r="67" spans="1:8" x14ac:dyDescent="0.25">
      <c r="A67" s="6" t="s">
        <v>36</v>
      </c>
      <c r="B67" s="4">
        <f>(B18/B24)*100</f>
        <v>158.12883936250779</v>
      </c>
      <c r="C67" s="4"/>
      <c r="D67" s="4"/>
      <c r="E67" s="4"/>
      <c r="F67" s="4"/>
    </row>
    <row r="68" spans="1:8" ht="15.75" thickBot="1" x14ac:dyDescent="0.3">
      <c r="A68" s="12"/>
      <c r="B68" s="12"/>
      <c r="C68" s="12"/>
      <c r="D68" s="12"/>
      <c r="E68" s="12"/>
      <c r="F68" s="12"/>
      <c r="G68" s="12"/>
      <c r="H68" s="12"/>
    </row>
    <row r="69" spans="1:8" ht="15.75" thickTop="1" x14ac:dyDescent="0.25"/>
    <row r="70" spans="1:8" x14ac:dyDescent="0.25">
      <c r="A70" s="13" t="s">
        <v>63</v>
      </c>
    </row>
    <row r="71" spans="1:8" x14ac:dyDescent="0.25">
      <c r="A71" s="25" t="s">
        <v>116</v>
      </c>
    </row>
    <row r="72" spans="1:8" x14ac:dyDescent="0.25">
      <c r="A72" s="6" t="s">
        <v>117</v>
      </c>
      <c r="B72" s="14"/>
      <c r="C72" s="14"/>
    </row>
    <row r="76" spans="1:8" x14ac:dyDescent="0.25">
      <c r="A76" s="6" t="s">
        <v>110</v>
      </c>
    </row>
    <row r="77" spans="1:8" x14ac:dyDescent="0.25">
      <c r="A77" s="6" t="s">
        <v>111</v>
      </c>
    </row>
    <row r="78" spans="1:8" x14ac:dyDescent="0.25">
      <c r="A78" s="6" t="s">
        <v>118</v>
      </c>
    </row>
  </sheetData>
  <mergeCells count="4">
    <mergeCell ref="A4:A5"/>
    <mergeCell ref="B4:B5"/>
    <mergeCell ref="A2:G2"/>
    <mergeCell ref="C4:I4"/>
  </mergeCells>
  <hyperlinks>
    <hyperlink ref="I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zoomScale="90" zoomScaleNormal="90" workbookViewId="0">
      <selection activeCell="A78" sqref="A78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7" style="6" bestFit="1" customWidth="1"/>
    <col min="7" max="7" width="15" style="6" bestFit="1" customWidth="1"/>
    <col min="8" max="8" width="15.140625" style="6" bestFit="1" customWidth="1"/>
    <col min="9" max="9" width="12.5703125" style="6" bestFit="1" customWidth="1"/>
    <col min="10" max="16384" width="11.42578125" style="6"/>
  </cols>
  <sheetData>
    <row r="2" spans="1:9" ht="15.75" x14ac:dyDescent="0.25">
      <c r="A2" s="30" t="s">
        <v>88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23" t="s">
        <v>2</v>
      </c>
      <c r="E5" s="23" t="s">
        <v>3</v>
      </c>
      <c r="F5" s="24" t="s">
        <v>38</v>
      </c>
      <c r="G5" s="24" t="s">
        <v>37</v>
      </c>
      <c r="H5" s="24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48</v>
      </c>
      <c r="B10" s="17">
        <f>SUM(C10:I10)</f>
        <v>159482.66666666669</v>
      </c>
      <c r="C10" s="17">
        <v>140874</v>
      </c>
      <c r="D10" s="17">
        <v>11865</v>
      </c>
      <c r="E10" s="17">
        <v>2973</v>
      </c>
      <c r="F10" s="17">
        <v>2606.3333333333335</v>
      </c>
      <c r="G10" s="17">
        <v>1164.3333333333333</v>
      </c>
      <c r="H10" s="17">
        <v>0</v>
      </c>
    </row>
    <row r="11" spans="1:9" x14ac:dyDescent="0.25">
      <c r="A11" s="3" t="s">
        <v>89</v>
      </c>
      <c r="B11" s="17">
        <f t="shared" ref="B11:B12" si="0">SUM(C11:I11)</f>
        <v>107773</v>
      </c>
      <c r="C11" s="17">
        <f>2175+4515+77210+8439</f>
        <v>92339</v>
      </c>
      <c r="D11" s="17">
        <f>6000+2922</f>
        <v>8922</v>
      </c>
      <c r="E11" s="17">
        <v>2300</v>
      </c>
      <c r="F11" s="17">
        <v>2400</v>
      </c>
      <c r="G11" s="17">
        <v>850</v>
      </c>
      <c r="H11" s="17">
        <v>267</v>
      </c>
      <c r="I11" s="17">
        <v>695</v>
      </c>
    </row>
    <row r="12" spans="1:9" x14ac:dyDescent="0.25">
      <c r="A12" s="3" t="s">
        <v>90</v>
      </c>
      <c r="B12" s="17">
        <f t="shared" si="0"/>
        <v>332165</v>
      </c>
      <c r="C12" s="17">
        <f>17354+272728</f>
        <v>290082</v>
      </c>
      <c r="D12" s="17">
        <v>28168</v>
      </c>
      <c r="E12" s="17">
        <v>6942</v>
      </c>
      <c r="F12" s="17">
        <v>5468</v>
      </c>
      <c r="G12" s="17">
        <v>1317</v>
      </c>
      <c r="H12" s="17">
        <v>0</v>
      </c>
      <c r="I12" s="17">
        <v>188</v>
      </c>
    </row>
    <row r="13" spans="1:9" x14ac:dyDescent="0.25">
      <c r="A13" s="3" t="s">
        <v>69</v>
      </c>
      <c r="B13" s="17">
        <f t="shared" ref="B13" si="1">SUM(C13:I13)</f>
        <v>107773</v>
      </c>
      <c r="C13" s="17">
        <f>2175+4515+77210+8439</f>
        <v>92339</v>
      </c>
      <c r="D13" s="17">
        <f>6000+2922</f>
        <v>8922</v>
      </c>
      <c r="E13" s="17">
        <v>2300</v>
      </c>
      <c r="F13" s="17">
        <v>2400</v>
      </c>
      <c r="G13" s="17">
        <v>850</v>
      </c>
      <c r="H13" s="17">
        <v>267</v>
      </c>
      <c r="I13" s="17"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48</v>
      </c>
      <c r="B16" s="2">
        <f t="shared" ref="B16:B18" si="2">SUM(C16:I16)</f>
        <v>6426477422.1000004</v>
      </c>
      <c r="C16" s="17">
        <v>4648842000</v>
      </c>
      <c r="D16" s="2">
        <v>605115000</v>
      </c>
      <c r="E16" s="2">
        <v>356760000</v>
      </c>
      <c r="F16" s="2">
        <v>606180422.10000086</v>
      </c>
      <c r="G16" s="2">
        <v>209580000</v>
      </c>
      <c r="H16" s="2">
        <v>0</v>
      </c>
    </row>
    <row r="17" spans="1:9" x14ac:dyDescent="0.25">
      <c r="A17" s="3" t="s">
        <v>89</v>
      </c>
      <c r="B17" s="2">
        <f t="shared" si="2"/>
        <v>5180659062.5</v>
      </c>
      <c r="C17" s="17">
        <f>C19/4</f>
        <v>2917711500</v>
      </c>
      <c r="D17" s="17">
        <f t="shared" ref="D17:I17" si="3">D19/4</f>
        <v>454992250</v>
      </c>
      <c r="E17" s="17">
        <f t="shared" si="3"/>
        <v>276000000</v>
      </c>
      <c r="F17" s="17">
        <f t="shared" si="3"/>
        <v>504000000</v>
      </c>
      <c r="G17" s="17">
        <f t="shared" si="3"/>
        <v>153000000</v>
      </c>
      <c r="H17" s="17">
        <f t="shared" si="3"/>
        <v>749960312.5</v>
      </c>
      <c r="I17" s="17">
        <f t="shared" si="3"/>
        <v>124995000</v>
      </c>
    </row>
    <row r="18" spans="1:9" x14ac:dyDescent="0.25">
      <c r="A18" s="3" t="s">
        <v>90</v>
      </c>
      <c r="B18" s="2">
        <f t="shared" si="2"/>
        <v>4702255000</v>
      </c>
      <c r="C18" s="17">
        <v>3212330000</v>
      </c>
      <c r="D18" s="2">
        <v>511547000</v>
      </c>
      <c r="E18" s="2">
        <v>271240000</v>
      </c>
      <c r="F18" s="2">
        <v>614078000</v>
      </c>
      <c r="G18" s="16">
        <v>81720000</v>
      </c>
      <c r="H18" s="16">
        <v>0</v>
      </c>
      <c r="I18" s="6">
        <v>11340000</v>
      </c>
    </row>
    <row r="19" spans="1:9" x14ac:dyDescent="0.25">
      <c r="A19" s="3" t="s">
        <v>69</v>
      </c>
      <c r="B19" s="2">
        <f t="shared" ref="B19:B20" si="4">SUM(C19:I19)</f>
        <v>20722636250</v>
      </c>
      <c r="C19" s="19">
        <f>287100000+595980000+10191643000+596123000</f>
        <v>11670846000</v>
      </c>
      <c r="D19" s="2">
        <f>1224000000+595969000</f>
        <v>1819969000</v>
      </c>
      <c r="E19" s="2">
        <v>1104000000</v>
      </c>
      <c r="F19" s="2">
        <v>2016000000</v>
      </c>
      <c r="G19" s="2">
        <v>612000000</v>
      </c>
      <c r="H19" s="2">
        <v>2999841250</v>
      </c>
      <c r="I19" s="2">
        <v>499980000</v>
      </c>
    </row>
    <row r="20" spans="1:9" x14ac:dyDescent="0.25">
      <c r="A20" s="3" t="s">
        <v>91</v>
      </c>
      <c r="B20" s="2">
        <f t="shared" si="4"/>
        <v>4702255000</v>
      </c>
      <c r="C20" s="17">
        <f>C18</f>
        <v>3212330000</v>
      </c>
      <c r="D20" s="17">
        <f t="shared" ref="D20:I20" si="5">D18</f>
        <v>511547000</v>
      </c>
      <c r="E20" s="17">
        <f t="shared" si="5"/>
        <v>271240000</v>
      </c>
      <c r="F20" s="17">
        <f t="shared" si="5"/>
        <v>614078000</v>
      </c>
      <c r="G20" s="17">
        <f t="shared" si="5"/>
        <v>81720000</v>
      </c>
      <c r="H20" s="17">
        <f t="shared" si="5"/>
        <v>0</v>
      </c>
      <c r="I20" s="17">
        <f t="shared" si="5"/>
        <v>11340000</v>
      </c>
    </row>
    <row r="21" spans="1:9" x14ac:dyDescent="0.25">
      <c r="B21" s="2"/>
      <c r="C21" s="2"/>
      <c r="D21" s="2"/>
      <c r="E21" s="2"/>
      <c r="F21" s="2"/>
      <c r="G21" s="2"/>
      <c r="H21" s="2"/>
    </row>
    <row r="22" spans="1:9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9" x14ac:dyDescent="0.25">
      <c r="A23" s="3" t="s">
        <v>89</v>
      </c>
      <c r="B23" s="2">
        <f>B17</f>
        <v>5180659062.5</v>
      </c>
      <c r="C23" s="2"/>
      <c r="D23" s="2"/>
      <c r="E23" s="2"/>
      <c r="F23" s="2"/>
      <c r="G23" s="2"/>
      <c r="H23" s="2"/>
    </row>
    <row r="24" spans="1:9" x14ac:dyDescent="0.25">
      <c r="A24" s="3" t="s">
        <v>90</v>
      </c>
      <c r="B24" s="2">
        <v>3795836812.6599998</v>
      </c>
      <c r="C24" s="2"/>
      <c r="D24" s="2"/>
      <c r="E24" s="2"/>
      <c r="F24" s="2"/>
      <c r="G24" s="2"/>
      <c r="H24" s="2"/>
    </row>
    <row r="26" spans="1:9" x14ac:dyDescent="0.25">
      <c r="A26" s="6" t="s">
        <v>9</v>
      </c>
    </row>
    <row r="27" spans="1:9" x14ac:dyDescent="0.25">
      <c r="A27" s="6" t="s">
        <v>49</v>
      </c>
      <c r="B27" s="10">
        <v>1.4880743485666665</v>
      </c>
      <c r="C27" s="10">
        <v>1.4880743485666665</v>
      </c>
      <c r="D27" s="10">
        <v>1.4880743485666665</v>
      </c>
      <c r="E27" s="10">
        <v>1.4880743485666665</v>
      </c>
      <c r="F27" s="10">
        <v>1.4880743485666665</v>
      </c>
      <c r="G27" s="10">
        <v>1.4880743485666665</v>
      </c>
      <c r="H27" s="10">
        <v>1.4880743485666665</v>
      </c>
    </row>
    <row r="28" spans="1:9" x14ac:dyDescent="0.25">
      <c r="A28" s="6" t="s">
        <v>92</v>
      </c>
      <c r="B28" s="6">
        <v>1.56</v>
      </c>
      <c r="C28" s="6">
        <v>1.56</v>
      </c>
      <c r="D28" s="6">
        <v>1.56</v>
      </c>
      <c r="E28" s="6">
        <v>1.56</v>
      </c>
      <c r="F28" s="6">
        <v>1.56</v>
      </c>
      <c r="G28" s="6">
        <v>1.56</v>
      </c>
      <c r="H28" s="6">
        <v>1.56</v>
      </c>
    </row>
    <row r="29" spans="1:9" x14ac:dyDescent="0.25">
      <c r="A29" s="3" t="s">
        <v>11</v>
      </c>
      <c r="B29" s="17">
        <f>SUM(C29:I29)</f>
        <v>259781</v>
      </c>
      <c r="C29" s="19">
        <v>223258</v>
      </c>
      <c r="D29" s="17">
        <v>8954</v>
      </c>
      <c r="E29" s="15">
        <v>8954</v>
      </c>
      <c r="F29" s="17">
        <v>18615</v>
      </c>
      <c r="G29" s="17"/>
    </row>
    <row r="31" spans="1:9" x14ac:dyDescent="0.25">
      <c r="A31" s="6" t="s">
        <v>12</v>
      </c>
    </row>
    <row r="32" spans="1:9" x14ac:dyDescent="0.25">
      <c r="A32" s="6" t="s">
        <v>50</v>
      </c>
      <c r="B32" s="2">
        <f t="shared" ref="B32:H32" si="6">B16/B27</f>
        <v>4318653451.8857012</v>
      </c>
      <c r="C32" s="17">
        <f t="shared" si="6"/>
        <v>3124065678.8942218</v>
      </c>
      <c r="D32" s="2">
        <f t="shared" si="6"/>
        <v>406642988.35797757</v>
      </c>
      <c r="E32" s="2">
        <f t="shared" si="6"/>
        <v>239746085.49877638</v>
      </c>
      <c r="F32" s="2">
        <f t="shared" si="6"/>
        <v>407358962.05984741</v>
      </c>
      <c r="G32" s="2">
        <f t="shared" si="6"/>
        <v>140839737.07487822</v>
      </c>
      <c r="H32" s="2">
        <f t="shared" si="6"/>
        <v>0</v>
      </c>
    </row>
    <row r="33" spans="1:8" x14ac:dyDescent="0.25">
      <c r="A33" s="6" t="s">
        <v>93</v>
      </c>
      <c r="B33" s="2">
        <f t="shared" ref="B33:H33" si="7">B18/B28</f>
        <v>3014266025.6410255</v>
      </c>
      <c r="C33" s="17">
        <f t="shared" si="7"/>
        <v>2059185897.4358974</v>
      </c>
      <c r="D33" s="2">
        <f t="shared" si="7"/>
        <v>327914743.58974355</v>
      </c>
      <c r="E33" s="2">
        <f t="shared" si="7"/>
        <v>173871794.87179488</v>
      </c>
      <c r="F33" s="2">
        <f t="shared" si="7"/>
        <v>393639743.58974355</v>
      </c>
      <c r="G33" s="2">
        <f t="shared" si="7"/>
        <v>52384615.384615384</v>
      </c>
      <c r="H33" s="2">
        <f t="shared" si="7"/>
        <v>0</v>
      </c>
    </row>
    <row r="34" spans="1:8" x14ac:dyDescent="0.25">
      <c r="A34" s="6" t="s">
        <v>51</v>
      </c>
      <c r="B34" s="2">
        <f t="shared" ref="B34:H34" si="8">B32/B10</f>
        <v>27079.139960156801</v>
      </c>
      <c r="C34" s="17">
        <f t="shared" si="8"/>
        <v>22176.311305806761</v>
      </c>
      <c r="D34" s="2">
        <f t="shared" si="8"/>
        <v>34272.481108974091</v>
      </c>
      <c r="E34" s="2">
        <f t="shared" si="8"/>
        <v>80641.132021115496</v>
      </c>
      <c r="F34" s="2">
        <f t="shared" si="8"/>
        <v>156295.80332261699</v>
      </c>
      <c r="G34" s="2">
        <f t="shared" si="8"/>
        <v>120961.69803167325</v>
      </c>
      <c r="H34" s="2" t="e">
        <f t="shared" si="8"/>
        <v>#DIV/0!</v>
      </c>
    </row>
    <row r="35" spans="1:8" x14ac:dyDescent="0.25">
      <c r="A35" s="6" t="s">
        <v>94</v>
      </c>
      <c r="B35" s="2">
        <f t="shared" ref="B35:H35" si="9">B33/B12</f>
        <v>9074.6045659266492</v>
      </c>
      <c r="C35" s="17">
        <f t="shared" si="9"/>
        <v>7098.6338257316802</v>
      </c>
      <c r="D35" s="2">
        <f t="shared" si="9"/>
        <v>11641.392487565448</v>
      </c>
      <c r="E35" s="2">
        <f t="shared" si="9"/>
        <v>25046.354778420467</v>
      </c>
      <c r="F35" s="2">
        <f t="shared" si="9"/>
        <v>71989.711702586603</v>
      </c>
      <c r="G35" s="2">
        <f t="shared" si="9"/>
        <v>39775.714035395125</v>
      </c>
      <c r="H35" s="2" t="e">
        <f t="shared" si="9"/>
        <v>#DIV/0!</v>
      </c>
    </row>
    <row r="37" spans="1:8" x14ac:dyDescent="0.25">
      <c r="A37" s="9" t="s">
        <v>15</v>
      </c>
    </row>
    <row r="39" spans="1:8" x14ac:dyDescent="0.25">
      <c r="A39" s="6" t="s">
        <v>16</v>
      </c>
    </row>
    <row r="40" spans="1:8" x14ac:dyDescent="0.25">
      <c r="A40" s="6" t="s">
        <v>17</v>
      </c>
      <c r="B40" s="18">
        <f>(B11/B29)*100</f>
        <v>41.486097905543517</v>
      </c>
      <c r="C40" s="18">
        <f>(C11/C29)*100</f>
        <v>41.359772102231503</v>
      </c>
      <c r="D40" s="18">
        <f t="shared" ref="D40:F40" si="10">(D11/D29)*100</f>
        <v>99.642617824436002</v>
      </c>
      <c r="E40" s="18">
        <f t="shared" si="10"/>
        <v>25.686843868662052</v>
      </c>
      <c r="F40" s="18">
        <f t="shared" si="10"/>
        <v>12.8928283642224</v>
      </c>
      <c r="G40" s="17" t="s">
        <v>60</v>
      </c>
      <c r="H40" s="17" t="s">
        <v>60</v>
      </c>
    </row>
    <row r="41" spans="1:8" x14ac:dyDescent="0.25">
      <c r="A41" s="6" t="s">
        <v>18</v>
      </c>
      <c r="B41" s="18">
        <f>(B12/B29)*100</f>
        <v>127.86346961479092</v>
      </c>
      <c r="C41" s="18">
        <f>(C12/C29)*100</f>
        <v>129.93129025611626</v>
      </c>
      <c r="D41" s="18">
        <f t="shared" ref="D41:F41" si="11">(D12/D29)*100</f>
        <v>314.58566004020548</v>
      </c>
      <c r="E41" s="18">
        <f t="shared" si="11"/>
        <v>77.52959571141389</v>
      </c>
      <c r="F41" s="18">
        <f t="shared" si="11"/>
        <v>29.374160623153372</v>
      </c>
      <c r="G41" s="17" t="s">
        <v>60</v>
      </c>
      <c r="H41" s="17" t="s">
        <v>60</v>
      </c>
    </row>
    <row r="43" spans="1:8" x14ac:dyDescent="0.25">
      <c r="A43" s="6" t="s">
        <v>19</v>
      </c>
    </row>
    <row r="44" spans="1:8" x14ac:dyDescent="0.25">
      <c r="A44" s="6" t="s">
        <v>20</v>
      </c>
      <c r="B44" s="4">
        <f t="shared" ref="B44:H44" si="12">B12/B11*100</f>
        <v>308.20799272545071</v>
      </c>
      <c r="C44" s="18">
        <f t="shared" si="12"/>
        <v>314.1489511474025</v>
      </c>
      <c r="D44" s="4">
        <f t="shared" si="12"/>
        <v>315.71396547859223</v>
      </c>
      <c r="E44" s="4">
        <f t="shared" si="12"/>
        <v>301.82608695652175</v>
      </c>
      <c r="F44" s="4">
        <f t="shared" si="12"/>
        <v>227.83333333333334</v>
      </c>
      <c r="G44" s="4">
        <f t="shared" si="12"/>
        <v>154.94117647058823</v>
      </c>
      <c r="H44" s="4">
        <f t="shared" si="12"/>
        <v>0</v>
      </c>
    </row>
    <row r="45" spans="1:8" x14ac:dyDescent="0.25">
      <c r="A45" s="6" t="s">
        <v>21</v>
      </c>
      <c r="B45" s="4">
        <f t="shared" ref="B45:H45" si="13">B18/B17*100</f>
        <v>90.765575253486389</v>
      </c>
      <c r="C45" s="18">
        <f t="shared" si="13"/>
        <v>110.09758846959339</v>
      </c>
      <c r="D45" s="4">
        <f t="shared" si="13"/>
        <v>112.42982710145061</v>
      </c>
      <c r="E45" s="4">
        <f t="shared" si="13"/>
        <v>98.275362318840578</v>
      </c>
      <c r="F45" s="4">
        <f t="shared" si="13"/>
        <v>121.840873015873</v>
      </c>
      <c r="G45" s="4">
        <f t="shared" si="13"/>
        <v>53.411764705882348</v>
      </c>
      <c r="H45" s="4">
        <f t="shared" si="13"/>
        <v>0</v>
      </c>
    </row>
    <row r="46" spans="1:8" x14ac:dyDescent="0.25">
      <c r="A46" s="6" t="s">
        <v>22</v>
      </c>
      <c r="B46" s="4">
        <f t="shared" ref="B46:H46" si="14">AVERAGE(B44:B45)</f>
        <v>199.48678398946856</v>
      </c>
      <c r="C46" s="18">
        <f t="shared" si="14"/>
        <v>212.12326980849795</v>
      </c>
      <c r="D46" s="4">
        <f t="shared" si="14"/>
        <v>214.07189629002141</v>
      </c>
      <c r="E46" s="4">
        <f t="shared" si="14"/>
        <v>200.05072463768116</v>
      </c>
      <c r="F46" s="4">
        <f t="shared" si="14"/>
        <v>174.83710317460316</v>
      </c>
      <c r="G46" s="4">
        <f t="shared" si="14"/>
        <v>104.17647058823529</v>
      </c>
      <c r="H46" s="4">
        <f t="shared" si="14"/>
        <v>0</v>
      </c>
    </row>
    <row r="47" spans="1:8" x14ac:dyDescent="0.25">
      <c r="B47" s="1"/>
      <c r="C47" s="1"/>
      <c r="D47" s="1"/>
    </row>
    <row r="48" spans="1:8" x14ac:dyDescent="0.25">
      <c r="A48" s="6" t="s">
        <v>23</v>
      </c>
    </row>
    <row r="49" spans="1:8" x14ac:dyDescent="0.25">
      <c r="A49" s="6" t="s">
        <v>24</v>
      </c>
      <c r="B49" s="4">
        <f t="shared" ref="B49:H49" si="15">B12/B13*100</f>
        <v>308.20799272545071</v>
      </c>
      <c r="C49" s="18">
        <f t="shared" si="15"/>
        <v>314.1489511474025</v>
      </c>
      <c r="D49" s="4">
        <f t="shared" si="15"/>
        <v>315.71396547859223</v>
      </c>
      <c r="E49" s="4">
        <f t="shared" si="15"/>
        <v>301.82608695652175</v>
      </c>
      <c r="F49" s="4">
        <f t="shared" si="15"/>
        <v>227.83333333333334</v>
      </c>
      <c r="G49" s="4">
        <f t="shared" si="15"/>
        <v>154.94117647058823</v>
      </c>
      <c r="H49" s="4">
        <f t="shared" si="15"/>
        <v>0</v>
      </c>
    </row>
    <row r="50" spans="1:8" x14ac:dyDescent="0.25">
      <c r="A50" s="6" t="s">
        <v>25</v>
      </c>
      <c r="B50" s="4">
        <f t="shared" ref="B50:H50" si="16">B18/B19*100</f>
        <v>22.691393813371597</v>
      </c>
      <c r="C50" s="18">
        <f t="shared" si="16"/>
        <v>27.524397117398347</v>
      </c>
      <c r="D50" s="4">
        <f t="shared" si="16"/>
        <v>28.107456775362653</v>
      </c>
      <c r="E50" s="4">
        <f t="shared" si="16"/>
        <v>24.568840579710145</v>
      </c>
      <c r="F50" s="4">
        <f t="shared" si="16"/>
        <v>30.46021825396825</v>
      </c>
      <c r="G50" s="4">
        <f t="shared" si="16"/>
        <v>13.352941176470587</v>
      </c>
      <c r="H50" s="4">
        <f t="shared" si="16"/>
        <v>0</v>
      </c>
    </row>
    <row r="51" spans="1:8" x14ac:dyDescent="0.25">
      <c r="A51" s="6" t="s">
        <v>26</v>
      </c>
      <c r="B51" s="4">
        <f t="shared" ref="B51:H51" si="17">(B49+B50)/2</f>
        <v>165.44969326941114</v>
      </c>
      <c r="C51" s="18">
        <f t="shared" si="17"/>
        <v>170.83667413240042</v>
      </c>
      <c r="D51" s="4">
        <f t="shared" si="17"/>
        <v>171.91071112697745</v>
      </c>
      <c r="E51" s="4">
        <f t="shared" si="17"/>
        <v>163.19746376811594</v>
      </c>
      <c r="F51" s="4">
        <f t="shared" si="17"/>
        <v>129.14677579365079</v>
      </c>
      <c r="G51" s="4">
        <f t="shared" si="17"/>
        <v>84.147058823529406</v>
      </c>
      <c r="H51" s="4">
        <f t="shared" si="17"/>
        <v>0</v>
      </c>
    </row>
    <row r="53" spans="1:8" x14ac:dyDescent="0.25">
      <c r="A53" s="6" t="s">
        <v>27</v>
      </c>
      <c r="B53" s="4">
        <f>B20/B18*100</f>
        <v>100</v>
      </c>
      <c r="C53" s="18">
        <f>C20/C18*100</f>
        <v>100</v>
      </c>
      <c r="D53" s="18">
        <f t="shared" ref="D53:H53" si="18">D20/D18*100</f>
        <v>100</v>
      </c>
      <c r="E53" s="18">
        <f t="shared" si="18"/>
        <v>100</v>
      </c>
      <c r="F53" s="18">
        <f t="shared" si="18"/>
        <v>100</v>
      </c>
      <c r="G53" s="18">
        <f t="shared" si="18"/>
        <v>100</v>
      </c>
      <c r="H53" s="18" t="e">
        <f t="shared" si="18"/>
        <v>#DIV/0!</v>
      </c>
    </row>
    <row r="55" spans="1:8" x14ac:dyDescent="0.25">
      <c r="A55" s="6" t="s">
        <v>28</v>
      </c>
    </row>
    <row r="56" spans="1:8" x14ac:dyDescent="0.25">
      <c r="A56" s="6" t="s">
        <v>29</v>
      </c>
      <c r="B56" s="4">
        <f t="shared" ref="B56:H56" si="19">((B12/B10)-1)*100</f>
        <v>108.27655251981403</v>
      </c>
      <c r="C56" s="18">
        <f t="shared" si="19"/>
        <v>105.91592486903193</v>
      </c>
      <c r="D56" s="4">
        <f t="shared" si="19"/>
        <v>137.40412979351032</v>
      </c>
      <c r="E56" s="4">
        <f t="shared" si="19"/>
        <v>133.50151362260343</v>
      </c>
      <c r="F56" s="4">
        <f t="shared" si="19"/>
        <v>109.79664918787569</v>
      </c>
      <c r="G56" s="4">
        <f t="shared" si="19"/>
        <v>13.111938162038372</v>
      </c>
      <c r="H56" s="4" t="e">
        <f t="shared" si="19"/>
        <v>#DIV/0!</v>
      </c>
    </row>
    <row r="57" spans="1:8" x14ac:dyDescent="0.25">
      <c r="A57" s="6" t="s">
        <v>30</v>
      </c>
      <c r="B57" s="4">
        <f t="shared" ref="B57:H57" si="20">((B33/B32)-1)*100</f>
        <v>-30.203567866162693</v>
      </c>
      <c r="C57" s="18">
        <f t="shared" si="20"/>
        <v>-34.086344235734622</v>
      </c>
      <c r="D57" s="4">
        <f t="shared" si="20"/>
        <v>-19.360531724926155</v>
      </c>
      <c r="E57" s="4">
        <f t="shared" si="20"/>
        <v>-27.476690803912085</v>
      </c>
      <c r="F57" s="4">
        <f t="shared" si="20"/>
        <v>-3.3678450084248523</v>
      </c>
      <c r="G57" s="4">
        <f t="shared" si="20"/>
        <v>-62.80551464196158</v>
      </c>
      <c r="H57" s="4" t="e">
        <f t="shared" si="20"/>
        <v>#DIV/0!</v>
      </c>
    </row>
    <row r="58" spans="1:8" x14ac:dyDescent="0.25">
      <c r="A58" s="6" t="s">
        <v>31</v>
      </c>
      <c r="B58" s="4">
        <f t="shared" ref="B58:H58" si="21">((B35/B34)-1)*100</f>
        <v>-66.488579108204064</v>
      </c>
      <c r="C58" s="18">
        <f t="shared" si="21"/>
        <v>-67.990015436548561</v>
      </c>
      <c r="D58" s="4">
        <f t="shared" si="21"/>
        <v>-66.03282834834738</v>
      </c>
      <c r="E58" s="4">
        <f t="shared" si="21"/>
        <v>-68.940968274276955</v>
      </c>
      <c r="F58" s="4">
        <f t="shared" si="21"/>
        <v>-53.940086571621194</v>
      </c>
      <c r="G58" s="4">
        <f t="shared" si="21"/>
        <v>-67.117100137780767</v>
      </c>
      <c r="H58" s="4" t="e">
        <f t="shared" si="21"/>
        <v>#DIV/0!</v>
      </c>
    </row>
    <row r="59" spans="1:8" x14ac:dyDescent="0.25">
      <c r="B59" s="1"/>
      <c r="C59" s="1"/>
      <c r="D59" s="1"/>
    </row>
    <row r="60" spans="1:8" x14ac:dyDescent="0.25">
      <c r="A60" s="6" t="s">
        <v>32</v>
      </c>
    </row>
    <row r="61" spans="1:8" x14ac:dyDescent="0.25">
      <c r="A61" s="6" t="s">
        <v>64</v>
      </c>
      <c r="B61" s="4">
        <f>B17/(B11*3)</f>
        <v>16023.367208546359</v>
      </c>
      <c r="C61" s="18">
        <f t="shared" ref="C61:H61" si="22">C17/(C11*3)</f>
        <v>10532.608107083681</v>
      </c>
      <c r="D61" s="4">
        <f t="shared" si="22"/>
        <v>16998.888515280581</v>
      </c>
      <c r="E61" s="4">
        <f t="shared" si="22"/>
        <v>40000</v>
      </c>
      <c r="F61" s="4">
        <f t="shared" si="22"/>
        <v>70000</v>
      </c>
      <c r="G61" s="4">
        <f t="shared" si="22"/>
        <v>60000</v>
      </c>
      <c r="H61" s="4">
        <f t="shared" si="22"/>
        <v>936280.04057428217</v>
      </c>
    </row>
    <row r="62" spans="1:8" x14ac:dyDescent="0.25">
      <c r="A62" s="6" t="s">
        <v>65</v>
      </c>
      <c r="B62" s="4">
        <f>B18/(B12*3)</f>
        <v>4718.7943742818579</v>
      </c>
      <c r="C62" s="18">
        <f t="shared" ref="C62:H62" si="23">C18/(C12*3)</f>
        <v>3691.2895893804739</v>
      </c>
      <c r="D62" s="4">
        <f t="shared" si="23"/>
        <v>6053.5240935340335</v>
      </c>
      <c r="E62" s="4">
        <f t="shared" si="23"/>
        <v>13024.104484778642</v>
      </c>
      <c r="F62" s="4">
        <f t="shared" si="23"/>
        <v>37434.650085345034</v>
      </c>
      <c r="G62" s="4">
        <f t="shared" si="23"/>
        <v>20683.371298405465</v>
      </c>
      <c r="H62" s="4" t="e">
        <f t="shared" si="23"/>
        <v>#DIV/0!</v>
      </c>
    </row>
    <row r="63" spans="1:8" x14ac:dyDescent="0.25">
      <c r="A63" s="6" t="s">
        <v>33</v>
      </c>
      <c r="B63" s="4">
        <f t="shared" ref="B63:H63" si="24">(B61/B62)*B46</f>
        <v>677.38700599804827</v>
      </c>
      <c r="C63" s="18">
        <f t="shared" si="24"/>
        <v>605.26577966511229</v>
      </c>
      <c r="D63" s="4">
        <f t="shared" si="24"/>
        <v>601.13485022314489</v>
      </c>
      <c r="E63" s="4">
        <f t="shared" si="24"/>
        <v>614.40147342638966</v>
      </c>
      <c r="F63" s="4">
        <f t="shared" si="24"/>
        <v>326.93232591516602</v>
      </c>
      <c r="G63" s="4">
        <f t="shared" si="24"/>
        <v>302.20355014252397</v>
      </c>
      <c r="H63" s="4" t="e">
        <f t="shared" si="24"/>
        <v>#DIV/0!</v>
      </c>
    </row>
    <row r="64" spans="1:8" x14ac:dyDescent="0.25">
      <c r="B64" s="1"/>
      <c r="C64" s="1"/>
      <c r="D64" s="1"/>
    </row>
    <row r="65" spans="1:8" x14ac:dyDescent="0.25">
      <c r="A65" s="6" t="s">
        <v>34</v>
      </c>
      <c r="B65" s="1"/>
      <c r="C65" s="1"/>
      <c r="D65" s="1"/>
    </row>
    <row r="66" spans="1:8" x14ac:dyDescent="0.25">
      <c r="A66" s="6" t="s">
        <v>35</v>
      </c>
      <c r="B66" s="4">
        <f>(B24/B23)*100</f>
        <v>73.269380726788555</v>
      </c>
      <c r="C66" s="4"/>
      <c r="D66" s="4"/>
      <c r="E66" s="4"/>
      <c r="F66" s="4"/>
    </row>
    <row r="67" spans="1:8" x14ac:dyDescent="0.25">
      <c r="A67" s="6" t="s">
        <v>36</v>
      </c>
      <c r="B67" s="4">
        <f>(B18/B24)*100</f>
        <v>123.87927174100015</v>
      </c>
      <c r="C67" s="4"/>
      <c r="D67" s="4"/>
      <c r="E67" s="4"/>
      <c r="F67" s="4"/>
    </row>
    <row r="68" spans="1:8" ht="15.75" thickBot="1" x14ac:dyDescent="0.3">
      <c r="A68" s="12"/>
      <c r="B68" s="12"/>
      <c r="C68" s="12"/>
      <c r="D68" s="12"/>
      <c r="E68" s="12"/>
      <c r="F68" s="12"/>
      <c r="G68" s="12"/>
      <c r="H68" s="12"/>
    </row>
    <row r="69" spans="1:8" ht="15.75" thickTop="1" x14ac:dyDescent="0.25"/>
    <row r="70" spans="1:8" x14ac:dyDescent="0.25">
      <c r="A70" s="13" t="s">
        <v>63</v>
      </c>
    </row>
    <row r="71" spans="1:8" x14ac:dyDescent="0.25">
      <c r="A71" s="25" t="s">
        <v>116</v>
      </c>
    </row>
    <row r="72" spans="1:8" x14ac:dyDescent="0.25">
      <c r="A72" s="6" t="s">
        <v>117</v>
      </c>
      <c r="B72" s="14"/>
      <c r="C72" s="14"/>
    </row>
    <row r="76" spans="1:8" x14ac:dyDescent="0.25">
      <c r="A76" s="6" t="s">
        <v>110</v>
      </c>
    </row>
    <row r="77" spans="1:8" x14ac:dyDescent="0.25">
      <c r="A77" s="6" t="s">
        <v>111</v>
      </c>
    </row>
    <row r="78" spans="1:8" x14ac:dyDescent="0.25">
      <c r="A78" s="6" t="s">
        <v>118</v>
      </c>
    </row>
  </sheetData>
  <mergeCells count="4">
    <mergeCell ref="A4:A5"/>
    <mergeCell ref="B4:B5"/>
    <mergeCell ref="A2:G2"/>
    <mergeCell ref="C4:I4"/>
  </mergeCells>
  <hyperlinks>
    <hyperlink ref="I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topLeftCell="A70" zoomScale="90" zoomScaleNormal="90" workbookViewId="0">
      <selection activeCell="A78" sqref="A78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7" width="15" style="6" bestFit="1" customWidth="1"/>
    <col min="8" max="8" width="14.7109375" style="6" bestFit="1" customWidth="1"/>
    <col min="9" max="9" width="12.5703125" style="6" bestFit="1" customWidth="1"/>
    <col min="10" max="16384" width="11.42578125" style="6"/>
  </cols>
  <sheetData>
    <row r="2" spans="1:9" ht="15.75" x14ac:dyDescent="0.25">
      <c r="A2" s="30" t="s">
        <v>95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23" t="s">
        <v>2</v>
      </c>
      <c r="E5" s="23" t="s">
        <v>3</v>
      </c>
      <c r="F5" s="24" t="s">
        <v>38</v>
      </c>
      <c r="G5" s="24" t="s">
        <v>37</v>
      </c>
      <c r="H5" s="24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52</v>
      </c>
      <c r="B10" s="2">
        <f>SUM(C10:I10)</f>
        <v>64707.666666666664</v>
      </c>
      <c r="C10" s="17">
        <f>AVERAGE('I Trimestre'!C10,'II Trimestre'!C10)</f>
        <v>54895.5</v>
      </c>
      <c r="D10" s="17">
        <f>AVERAGE('I Trimestre'!D10,'II Trimestre'!D10)</f>
        <v>6338.6666666666661</v>
      </c>
      <c r="E10" s="17">
        <f>AVERAGE('I Trimestre'!E10,'II Trimestre'!E10)</f>
        <v>1985</v>
      </c>
      <c r="F10" s="17">
        <f>AVERAGE('I Trimestre'!F10,'II Trimestre'!F10)</f>
        <v>995.83333333333337</v>
      </c>
      <c r="G10" s="17">
        <f>AVERAGE('I Trimestre'!G10,'II Trimestre'!G10)</f>
        <v>492.66666666666663</v>
      </c>
      <c r="H10" s="17">
        <f>AVERAGE('I Trimestre'!H10,'II Trimestre'!H10)</f>
        <v>0</v>
      </c>
      <c r="I10" s="17" t="s">
        <v>113</v>
      </c>
    </row>
    <row r="11" spans="1:9" x14ac:dyDescent="0.25">
      <c r="A11" s="3" t="s">
        <v>96</v>
      </c>
      <c r="B11" s="2">
        <f t="shared" ref="B11:B13" si="0">SUM(C11:I11)</f>
        <v>104785</v>
      </c>
      <c r="C11" s="17">
        <f>AVERAGE('I Trimestre'!C11,'II Trimestre'!C11)</f>
        <v>88417</v>
      </c>
      <c r="D11" s="17">
        <f>AVERAGE('I Trimestre'!D11,'II Trimestre'!D11)</f>
        <v>8922</v>
      </c>
      <c r="E11" s="17">
        <f>AVERAGE('I Trimestre'!E11,'II Trimestre'!E11)</f>
        <v>2300</v>
      </c>
      <c r="F11" s="17">
        <f>AVERAGE('I Trimestre'!F11,'II Trimestre'!F11)</f>
        <v>2400</v>
      </c>
      <c r="G11" s="17">
        <f>AVERAGE('I Trimestre'!G11,'II Trimestre'!G11)</f>
        <v>850</v>
      </c>
      <c r="H11" s="17">
        <f>AVERAGE('I Trimestre'!H11,'II Trimestre'!H11)</f>
        <v>1201</v>
      </c>
      <c r="I11" s="17">
        <f>AVERAGE('I Trimestre'!I11,'II Trimestre'!I11)</f>
        <v>695</v>
      </c>
    </row>
    <row r="12" spans="1:9" x14ac:dyDescent="0.25">
      <c r="A12" s="3" t="s">
        <v>97</v>
      </c>
      <c r="B12" s="2">
        <f t="shared" si="0"/>
        <v>160736.5</v>
      </c>
      <c r="C12" s="17">
        <f>AVERAGE('I Trimestre'!C12,'II Trimestre'!C12)</f>
        <v>143934</v>
      </c>
      <c r="D12" s="17">
        <f>AVERAGE('I Trimestre'!D12,'II Trimestre'!D12)</f>
        <v>10808</v>
      </c>
      <c r="E12" s="17">
        <f>AVERAGE('I Trimestre'!E12,'II Trimestre'!E12)</f>
        <v>3249</v>
      </c>
      <c r="F12" s="17">
        <f>AVERAGE('I Trimestre'!F12,'II Trimestre'!F12)</f>
        <v>2042</v>
      </c>
      <c r="G12" s="17">
        <f>AVERAGE('I Trimestre'!G12,'II Trimestre'!G12)</f>
        <v>567.5</v>
      </c>
      <c r="H12" s="17">
        <f>AVERAGE('I Trimestre'!H12,'II Trimestre'!H12)</f>
        <v>0</v>
      </c>
      <c r="I12" s="17">
        <f>AVERAGE('I Trimestre'!I12,'II Trimestre'!I12)</f>
        <v>136</v>
      </c>
    </row>
    <row r="13" spans="1:9" x14ac:dyDescent="0.25">
      <c r="A13" s="3" t="s">
        <v>69</v>
      </c>
      <c r="B13" s="2">
        <f t="shared" si="0"/>
        <v>104785</v>
      </c>
      <c r="C13" s="17">
        <f>'II Trimestre'!C13</f>
        <v>88417</v>
      </c>
      <c r="D13" s="17">
        <f>'II Trimestre'!D13</f>
        <v>8922</v>
      </c>
      <c r="E13" s="17">
        <f>'II Trimestre'!E13</f>
        <v>2300</v>
      </c>
      <c r="F13" s="17">
        <f>'II Trimestre'!F13</f>
        <v>2400</v>
      </c>
      <c r="G13" s="17">
        <f>'II Trimestre'!G13</f>
        <v>850</v>
      </c>
      <c r="H13" s="17">
        <f>'II Trimestre'!H13</f>
        <v>1201</v>
      </c>
      <c r="I13" s="17">
        <f>'II Trimestre'!I13</f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52</v>
      </c>
      <c r="B16" s="2">
        <f>SUM(C16:I16)</f>
        <v>5258946828</v>
      </c>
      <c r="C16" s="17">
        <f>'I Trimestre'!C16+'II Trimestre'!C16</f>
        <v>3623103000</v>
      </c>
      <c r="D16" s="17">
        <f>'I Trimestre'!D16+'II Trimestre'!D16</f>
        <v>646544000</v>
      </c>
      <c r="E16" s="17">
        <f>'I Trimestre'!E16+'II Trimestre'!E16</f>
        <v>476400000</v>
      </c>
      <c r="F16" s="17">
        <f>'I Trimestre'!F16+'II Trimestre'!F16</f>
        <v>335539828</v>
      </c>
      <c r="G16" s="17">
        <f>'I Trimestre'!G16+'II Trimestre'!G16</f>
        <v>177360000</v>
      </c>
      <c r="H16" s="17">
        <f>'I Trimestre'!H16+'II Trimestre'!H16</f>
        <v>0</v>
      </c>
      <c r="I16" s="17">
        <f>'I Trimestre'!I16+'II Trimestre'!I16</f>
        <v>0</v>
      </c>
    </row>
    <row r="17" spans="1:9" x14ac:dyDescent="0.25">
      <c r="A17" s="3" t="s">
        <v>96</v>
      </c>
      <c r="B17" s="2">
        <f t="shared" ref="B17:B20" si="1">SUM(C17:I17)</f>
        <v>10361318125</v>
      </c>
      <c r="C17" s="17">
        <f>C19/2</f>
        <v>5835423000</v>
      </c>
      <c r="D17" s="17">
        <f t="shared" ref="D17:I17" si="2">D19/2</f>
        <v>909984500</v>
      </c>
      <c r="E17" s="17">
        <f t="shared" si="2"/>
        <v>552000000</v>
      </c>
      <c r="F17" s="17">
        <f t="shared" si="2"/>
        <v>1008000000</v>
      </c>
      <c r="G17" s="17">
        <f t="shared" si="2"/>
        <v>306000000</v>
      </c>
      <c r="H17" s="17">
        <f t="shared" si="2"/>
        <v>1499920625</v>
      </c>
      <c r="I17" s="17">
        <f t="shared" si="2"/>
        <v>249990000</v>
      </c>
    </row>
    <row r="18" spans="1:9" x14ac:dyDescent="0.25">
      <c r="A18" s="3" t="s">
        <v>97</v>
      </c>
      <c r="B18" s="2">
        <f t="shared" si="1"/>
        <v>5241575000</v>
      </c>
      <c r="C18" s="17">
        <f>'I Trimestre'!C18+'II Trimestre'!C18</f>
        <v>3676255000</v>
      </c>
      <c r="D18" s="17">
        <f>'I Trimestre'!D18+'II Trimestre'!D18</f>
        <v>507994000</v>
      </c>
      <c r="E18" s="17">
        <f>'I Trimestre'!E18+'II Trimestre'!E18</f>
        <v>335800000</v>
      </c>
      <c r="F18" s="17">
        <f>'I Trimestre'!F18+'II Trimestre'!F18</f>
        <v>621326000</v>
      </c>
      <c r="G18" s="17">
        <f>'I Trimestre'!G18+'II Trimestre'!G18</f>
        <v>81900000</v>
      </c>
      <c r="H18" s="17">
        <f>'I Trimestre'!H18+'II Trimestre'!H18</f>
        <v>0</v>
      </c>
      <c r="I18" s="17">
        <f>'I Trimestre'!I18+'II Trimestre'!I18</f>
        <v>18300000</v>
      </c>
    </row>
    <row r="19" spans="1:9" x14ac:dyDescent="0.25">
      <c r="A19" s="3" t="s">
        <v>69</v>
      </c>
      <c r="B19" s="2">
        <f t="shared" si="1"/>
        <v>20722636250</v>
      </c>
      <c r="C19" s="19">
        <f>287100000+595980000+10191643000+596123000</f>
        <v>11670846000</v>
      </c>
      <c r="D19" s="2">
        <f>1224000000+595969000</f>
        <v>1819969000</v>
      </c>
      <c r="E19" s="2">
        <v>1104000000</v>
      </c>
      <c r="F19" s="2">
        <v>2016000000</v>
      </c>
      <c r="G19" s="2">
        <v>612000000</v>
      </c>
      <c r="H19" s="2">
        <v>2999841250</v>
      </c>
      <c r="I19" s="2">
        <v>499980000</v>
      </c>
    </row>
    <row r="20" spans="1:9" x14ac:dyDescent="0.25">
      <c r="A20" s="3" t="s">
        <v>98</v>
      </c>
      <c r="B20" s="2">
        <f t="shared" si="1"/>
        <v>5241575000</v>
      </c>
      <c r="C20" s="17">
        <f>C18</f>
        <v>3676255000</v>
      </c>
      <c r="D20" s="17">
        <f t="shared" ref="D20:I20" si="3">D18</f>
        <v>507994000</v>
      </c>
      <c r="E20" s="17">
        <f t="shared" si="3"/>
        <v>335800000</v>
      </c>
      <c r="F20" s="17">
        <f t="shared" si="3"/>
        <v>621326000</v>
      </c>
      <c r="G20" s="17">
        <f t="shared" si="3"/>
        <v>81900000</v>
      </c>
      <c r="H20" s="17">
        <f t="shared" si="3"/>
        <v>0</v>
      </c>
      <c r="I20" s="17">
        <f t="shared" si="3"/>
        <v>18300000</v>
      </c>
    </row>
    <row r="21" spans="1:9" x14ac:dyDescent="0.25">
      <c r="B21" s="2"/>
      <c r="C21" s="2"/>
      <c r="D21" s="2"/>
      <c r="E21" s="2"/>
      <c r="F21" s="2"/>
      <c r="G21" s="2"/>
      <c r="H21" s="2"/>
    </row>
    <row r="22" spans="1:9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9" x14ac:dyDescent="0.25">
      <c r="A23" s="3" t="s">
        <v>96</v>
      </c>
      <c r="B23" s="2">
        <f>B17</f>
        <v>10361318125</v>
      </c>
      <c r="C23" s="2"/>
      <c r="D23" s="2"/>
      <c r="E23" s="2"/>
      <c r="F23" s="2"/>
      <c r="G23" s="2"/>
      <c r="H23" s="2"/>
    </row>
    <row r="24" spans="1:9" x14ac:dyDescent="0.25">
      <c r="A24" s="3" t="s">
        <v>97</v>
      </c>
      <c r="B24" s="2">
        <f>+'I Trimestre'!B24+'II Trimestre'!B24</f>
        <v>9390867513.9799995</v>
      </c>
      <c r="C24" s="2"/>
      <c r="D24" s="2"/>
      <c r="E24" s="2"/>
      <c r="F24" s="2"/>
      <c r="G24" s="2"/>
      <c r="H24" s="2"/>
    </row>
    <row r="26" spans="1:9" x14ac:dyDescent="0.25">
      <c r="A26" s="6" t="s">
        <v>9</v>
      </c>
    </row>
    <row r="27" spans="1:9" x14ac:dyDescent="0.25">
      <c r="A27" s="6" t="s">
        <v>53</v>
      </c>
      <c r="B27" s="10">
        <v>1.45394391315</v>
      </c>
      <c r="C27" s="10">
        <v>1.45394391315</v>
      </c>
      <c r="D27" s="10">
        <v>1.45394391315</v>
      </c>
      <c r="E27" s="10">
        <v>1.45394391315</v>
      </c>
      <c r="F27" s="10">
        <v>1.45394391315</v>
      </c>
      <c r="G27" s="10">
        <v>1.45394391315</v>
      </c>
      <c r="H27" s="10">
        <v>1.45394391315</v>
      </c>
      <c r="I27" s="10">
        <v>1.45394391315</v>
      </c>
    </row>
    <row r="28" spans="1:9" x14ac:dyDescent="0.25">
      <c r="A28" s="6" t="s">
        <v>99</v>
      </c>
      <c r="B28" s="10">
        <v>1.5189901056499999</v>
      </c>
      <c r="C28" s="10">
        <v>1.5189901056499999</v>
      </c>
      <c r="D28" s="10">
        <v>1.5189901056499999</v>
      </c>
      <c r="E28" s="10">
        <v>1.5189901056499999</v>
      </c>
      <c r="F28" s="10">
        <v>1.5189901056499999</v>
      </c>
      <c r="G28" s="10">
        <v>1.5189901056499999</v>
      </c>
      <c r="H28" s="10">
        <v>1.5189901056499999</v>
      </c>
      <c r="I28" s="10">
        <v>1.5189901056499999</v>
      </c>
    </row>
    <row r="29" spans="1:9" x14ac:dyDescent="0.25">
      <c r="A29" s="3" t="s">
        <v>11</v>
      </c>
      <c r="B29" s="17">
        <f>SUM(C29:I29)</f>
        <v>259781</v>
      </c>
      <c r="C29" s="19">
        <v>223258</v>
      </c>
      <c r="D29" s="17">
        <v>8954</v>
      </c>
      <c r="E29" s="15">
        <v>8954</v>
      </c>
      <c r="F29" s="17">
        <v>18615</v>
      </c>
      <c r="G29" s="17" t="s">
        <v>60</v>
      </c>
      <c r="H29" s="6" t="s">
        <v>60</v>
      </c>
      <c r="I29" s="6" t="s">
        <v>60</v>
      </c>
    </row>
    <row r="31" spans="1:9" x14ac:dyDescent="0.25">
      <c r="A31" s="6" t="s">
        <v>12</v>
      </c>
    </row>
    <row r="32" spans="1:9" x14ac:dyDescent="0.25">
      <c r="A32" s="6" t="s">
        <v>54</v>
      </c>
      <c r="B32" s="2">
        <f t="shared" ref="B32:H32" si="4">B16/B27</f>
        <v>3617021798.7338872</v>
      </c>
      <c r="C32" s="17">
        <f t="shared" si="4"/>
        <v>2491913867.6749029</v>
      </c>
      <c r="D32" s="2">
        <f t="shared" si="4"/>
        <v>444682902.93210059</v>
      </c>
      <c r="E32" s="2">
        <f t="shared" si="4"/>
        <v>327660507.18412471</v>
      </c>
      <c r="F32" s="2">
        <f t="shared" si="4"/>
        <v>230779072.67622581</v>
      </c>
      <c r="G32" s="2">
        <f t="shared" si="4"/>
        <v>121985448.26653308</v>
      </c>
      <c r="H32" s="2">
        <f t="shared" si="4"/>
        <v>0</v>
      </c>
      <c r="I32" s="2">
        <f t="shared" ref="I32" si="5">I16/I27</f>
        <v>0</v>
      </c>
    </row>
    <row r="33" spans="1:9" x14ac:dyDescent="0.25">
      <c r="A33" s="6" t="s">
        <v>100</v>
      </c>
      <c r="B33" s="2">
        <f t="shared" ref="B33:H33" si="6">B18/B28</f>
        <v>3450697262.9403977</v>
      </c>
      <c r="C33" s="17">
        <f t="shared" si="6"/>
        <v>2420196804.6571784</v>
      </c>
      <c r="D33" s="2">
        <f t="shared" si="6"/>
        <v>334428774.82248068</v>
      </c>
      <c r="E33" s="2">
        <f t="shared" si="6"/>
        <v>221067931.08853456</v>
      </c>
      <c r="F33" s="2">
        <f t="shared" si="6"/>
        <v>409038872.3987934</v>
      </c>
      <c r="G33" s="2">
        <f t="shared" si="6"/>
        <v>53917401.894434124</v>
      </c>
      <c r="H33" s="2">
        <f t="shared" si="6"/>
        <v>0</v>
      </c>
      <c r="I33" s="2">
        <f t="shared" ref="I33" si="7">I18/I28</f>
        <v>12047478.078976123</v>
      </c>
    </row>
    <row r="34" spans="1:9" x14ac:dyDescent="0.25">
      <c r="A34" s="6" t="s">
        <v>55</v>
      </c>
      <c r="B34" s="2">
        <f t="shared" ref="B34:H34" si="8">B32/B10</f>
        <v>55897.886372051027</v>
      </c>
      <c r="C34" s="17">
        <f t="shared" si="8"/>
        <v>45393.773035584025</v>
      </c>
      <c r="D34" s="2">
        <f t="shared" si="8"/>
        <v>70154.012873175321</v>
      </c>
      <c r="E34" s="2">
        <f t="shared" si="8"/>
        <v>165068.26558394192</v>
      </c>
      <c r="F34" s="2">
        <f t="shared" si="8"/>
        <v>231744.67549077069</v>
      </c>
      <c r="G34" s="2">
        <f t="shared" si="8"/>
        <v>247602.39837591289</v>
      </c>
      <c r="H34" s="2" t="e">
        <f t="shared" si="8"/>
        <v>#DIV/0!</v>
      </c>
      <c r="I34" s="2" t="e">
        <f t="shared" ref="I34" si="9">I32/I10</f>
        <v>#VALUE!</v>
      </c>
    </row>
    <row r="35" spans="1:9" x14ac:dyDescent="0.25">
      <c r="A35" s="6" t="s">
        <v>101</v>
      </c>
      <c r="B35" s="2">
        <f t="shared" ref="B35:H35" si="10">B33/B12</f>
        <v>21468.037831733287</v>
      </c>
      <c r="C35" s="17">
        <f t="shared" si="10"/>
        <v>16814.628959503512</v>
      </c>
      <c r="D35" s="2">
        <f t="shared" si="10"/>
        <v>30942.706774840921</v>
      </c>
      <c r="E35" s="2">
        <f t="shared" si="10"/>
        <v>68041.837823494789</v>
      </c>
      <c r="F35" s="2">
        <f t="shared" si="10"/>
        <v>200312.86601312115</v>
      </c>
      <c r="G35" s="2">
        <f t="shared" si="10"/>
        <v>95008.637699443396</v>
      </c>
      <c r="H35" s="2" t="e">
        <f t="shared" si="10"/>
        <v>#DIV/0!</v>
      </c>
      <c r="I35" s="2">
        <f t="shared" ref="I35" si="11">I33/I12</f>
        <v>88584.397639530318</v>
      </c>
    </row>
    <row r="37" spans="1:9" x14ac:dyDescent="0.25">
      <c r="A37" s="9" t="s">
        <v>15</v>
      </c>
    </row>
    <row r="39" spans="1:9" x14ac:dyDescent="0.25">
      <c r="A39" s="6" t="s">
        <v>16</v>
      </c>
    </row>
    <row r="40" spans="1:9" x14ac:dyDescent="0.25">
      <c r="A40" s="6" t="s">
        <v>17</v>
      </c>
      <c r="B40" s="18">
        <f>(B11/B29)*100</f>
        <v>40.335898314349393</v>
      </c>
      <c r="C40" s="18">
        <f>(C11/C29)*100</f>
        <v>39.60306013670283</v>
      </c>
      <c r="D40" s="18">
        <f t="shared" ref="D40:F40" si="12">(D11/D29)*100</f>
        <v>99.642617824436002</v>
      </c>
      <c r="E40" s="18">
        <f t="shared" si="12"/>
        <v>25.686843868662052</v>
      </c>
      <c r="F40" s="18">
        <f t="shared" si="12"/>
        <v>12.8928283642224</v>
      </c>
      <c r="G40" s="17" t="s">
        <v>60</v>
      </c>
      <c r="H40" s="17" t="s">
        <v>60</v>
      </c>
      <c r="I40" s="17" t="s">
        <v>60</v>
      </c>
    </row>
    <row r="41" spans="1:9" x14ac:dyDescent="0.25">
      <c r="A41" s="6" t="s">
        <v>18</v>
      </c>
      <c r="B41" s="18">
        <f>(B12/B29)*100</f>
        <v>61.873847587005983</v>
      </c>
      <c r="C41" s="18">
        <f>(C12/C29)*100</f>
        <v>64.469806233147295</v>
      </c>
      <c r="D41" s="18">
        <f t="shared" ref="D41:F41" si="13">(D12/D29)*100</f>
        <v>120.7058297967389</v>
      </c>
      <c r="E41" s="18">
        <f t="shared" si="13"/>
        <v>36.285459012731742</v>
      </c>
      <c r="F41" s="18">
        <f t="shared" si="13"/>
        <v>10.969648133225892</v>
      </c>
      <c r="G41" s="17" t="s">
        <v>60</v>
      </c>
      <c r="H41" s="17" t="s">
        <v>60</v>
      </c>
      <c r="I41" s="17" t="s">
        <v>60</v>
      </c>
    </row>
    <row r="43" spans="1:9" x14ac:dyDescent="0.25">
      <c r="A43" s="6" t="s">
        <v>19</v>
      </c>
    </row>
    <row r="44" spans="1:9" x14ac:dyDescent="0.25">
      <c r="A44" s="6" t="s">
        <v>20</v>
      </c>
      <c r="B44" s="4">
        <f t="shared" ref="B44:H44" si="14">B12/B11*100</f>
        <v>153.39647850360259</v>
      </c>
      <c r="C44" s="18">
        <f t="shared" si="14"/>
        <v>162.78996120655532</v>
      </c>
      <c r="D44" s="4">
        <f t="shared" si="14"/>
        <v>121.13875812598071</v>
      </c>
      <c r="E44" s="4">
        <f t="shared" si="14"/>
        <v>141.2608695652174</v>
      </c>
      <c r="F44" s="4">
        <f t="shared" si="14"/>
        <v>85.083333333333329</v>
      </c>
      <c r="G44" s="4">
        <f t="shared" si="14"/>
        <v>66.764705882352942</v>
      </c>
      <c r="H44" s="4">
        <f t="shared" si="14"/>
        <v>0</v>
      </c>
      <c r="I44" s="4">
        <f t="shared" ref="I44" si="15">I12/I11*100</f>
        <v>19.568345323741006</v>
      </c>
    </row>
    <row r="45" spans="1:9" x14ac:dyDescent="0.25">
      <c r="A45" s="6" t="s">
        <v>21</v>
      </c>
      <c r="B45" s="4">
        <f t="shared" ref="B45:H45" si="16">B18/B17*100</f>
        <v>50.587916872786877</v>
      </c>
      <c r="C45" s="18">
        <f t="shared" si="16"/>
        <v>62.998946263192913</v>
      </c>
      <c r="D45" s="4">
        <f t="shared" si="16"/>
        <v>55.824467339828324</v>
      </c>
      <c r="E45" s="4">
        <f t="shared" si="16"/>
        <v>60.833333333333329</v>
      </c>
      <c r="F45" s="4">
        <f t="shared" si="16"/>
        <v>61.639484126984122</v>
      </c>
      <c r="G45" s="4">
        <f t="shared" si="16"/>
        <v>26.764705882352942</v>
      </c>
      <c r="H45" s="4">
        <f t="shared" si="16"/>
        <v>0</v>
      </c>
      <c r="I45" s="4">
        <f t="shared" ref="I45" si="17">I18/I17*100</f>
        <v>7.3202928117124682</v>
      </c>
    </row>
    <row r="46" spans="1:9" x14ac:dyDescent="0.25">
      <c r="A46" s="6" t="s">
        <v>22</v>
      </c>
      <c r="B46" s="4">
        <f t="shared" ref="B46:H46" si="18">AVERAGE(B44:B45)</f>
        <v>101.99219768819474</v>
      </c>
      <c r="C46" s="18">
        <f t="shared" si="18"/>
        <v>112.89445373487412</v>
      </c>
      <c r="D46" s="4">
        <f t="shared" si="18"/>
        <v>88.481612732904523</v>
      </c>
      <c r="E46" s="4">
        <f t="shared" si="18"/>
        <v>101.04710144927537</v>
      </c>
      <c r="F46" s="4">
        <f t="shared" si="18"/>
        <v>73.361408730158729</v>
      </c>
      <c r="G46" s="4">
        <f t="shared" si="18"/>
        <v>46.764705882352942</v>
      </c>
      <c r="H46" s="4">
        <f t="shared" si="18"/>
        <v>0</v>
      </c>
      <c r="I46" s="4">
        <f t="shared" ref="I46" si="19">AVERAGE(I44:I45)</f>
        <v>13.444319067726738</v>
      </c>
    </row>
    <row r="47" spans="1:9" x14ac:dyDescent="0.25">
      <c r="B47" s="1"/>
      <c r="C47" s="1"/>
      <c r="D47" s="1"/>
    </row>
    <row r="48" spans="1:9" x14ac:dyDescent="0.25">
      <c r="A48" s="6" t="s">
        <v>23</v>
      </c>
    </row>
    <row r="49" spans="1:9" x14ac:dyDescent="0.25">
      <c r="A49" s="6" t="s">
        <v>24</v>
      </c>
      <c r="B49" s="4">
        <f t="shared" ref="B49:H49" si="20">B12/B13*100</f>
        <v>153.39647850360259</v>
      </c>
      <c r="C49" s="18">
        <f t="shared" si="20"/>
        <v>162.78996120655532</v>
      </c>
      <c r="D49" s="4">
        <f t="shared" si="20"/>
        <v>121.13875812598071</v>
      </c>
      <c r="E49" s="4">
        <f t="shared" si="20"/>
        <v>141.2608695652174</v>
      </c>
      <c r="F49" s="4">
        <f t="shared" si="20"/>
        <v>85.083333333333329</v>
      </c>
      <c r="G49" s="4">
        <f t="shared" si="20"/>
        <v>66.764705882352942</v>
      </c>
      <c r="H49" s="4">
        <f t="shared" si="20"/>
        <v>0</v>
      </c>
      <c r="I49" s="4">
        <f t="shared" ref="I49" si="21">I12/I13*100</f>
        <v>19.568345323741006</v>
      </c>
    </row>
    <row r="50" spans="1:9" x14ac:dyDescent="0.25">
      <c r="A50" s="6" t="s">
        <v>25</v>
      </c>
      <c r="B50" s="4">
        <f t="shared" ref="B50:H50" si="22">B18/B19*100</f>
        <v>25.293958436393439</v>
      </c>
      <c r="C50" s="18">
        <f t="shared" si="22"/>
        <v>31.499473131596456</v>
      </c>
      <c r="D50" s="4">
        <f t="shared" si="22"/>
        <v>27.912233669914162</v>
      </c>
      <c r="E50" s="4">
        <f t="shared" si="22"/>
        <v>30.416666666666664</v>
      </c>
      <c r="F50" s="4">
        <f t="shared" si="22"/>
        <v>30.819742063492061</v>
      </c>
      <c r="G50" s="4">
        <f t="shared" si="22"/>
        <v>13.382352941176471</v>
      </c>
      <c r="H50" s="4">
        <f t="shared" si="22"/>
        <v>0</v>
      </c>
      <c r="I50" s="4">
        <f t="shared" ref="I50" si="23">I18/I19*100</f>
        <v>3.6601464058562341</v>
      </c>
    </row>
    <row r="51" spans="1:9" x14ac:dyDescent="0.25">
      <c r="A51" s="6" t="s">
        <v>26</v>
      </c>
      <c r="B51" s="4">
        <f t="shared" ref="B51:H51" si="24">(B49+B50)/2</f>
        <v>89.345218469998017</v>
      </c>
      <c r="C51" s="18">
        <f t="shared" si="24"/>
        <v>97.144717169075889</v>
      </c>
      <c r="D51" s="4">
        <f t="shared" si="24"/>
        <v>74.525495897947437</v>
      </c>
      <c r="E51" s="4">
        <f t="shared" si="24"/>
        <v>85.838768115942031</v>
      </c>
      <c r="F51" s="4">
        <f t="shared" si="24"/>
        <v>57.951537698412693</v>
      </c>
      <c r="G51" s="4">
        <f t="shared" si="24"/>
        <v>40.07352941176471</v>
      </c>
      <c r="H51" s="4">
        <f t="shared" si="24"/>
        <v>0</v>
      </c>
      <c r="I51" s="4">
        <f t="shared" ref="I51" si="25">(I49+I50)/2</f>
        <v>11.614245864798621</v>
      </c>
    </row>
    <row r="53" spans="1:9" x14ac:dyDescent="0.25">
      <c r="A53" s="6" t="s">
        <v>27</v>
      </c>
      <c r="B53" s="4">
        <f>B20/B18*100</f>
        <v>100</v>
      </c>
      <c r="C53" s="18">
        <f>C20/C18*100</f>
        <v>100</v>
      </c>
      <c r="D53" s="18">
        <f t="shared" ref="D53:H53" si="26">D20/D18*100</f>
        <v>100</v>
      </c>
      <c r="E53" s="18">
        <f t="shared" si="26"/>
        <v>100</v>
      </c>
      <c r="F53" s="18">
        <f t="shared" si="26"/>
        <v>100</v>
      </c>
      <c r="G53" s="18">
        <f t="shared" si="26"/>
        <v>100</v>
      </c>
      <c r="H53" s="18" t="e">
        <f t="shared" si="26"/>
        <v>#DIV/0!</v>
      </c>
      <c r="I53" s="18">
        <f t="shared" ref="I53" si="27">I20/I18*100</f>
        <v>100</v>
      </c>
    </row>
    <row r="55" spans="1:9" x14ac:dyDescent="0.25">
      <c r="A55" s="6" t="s">
        <v>28</v>
      </c>
    </row>
    <row r="56" spans="1:9" x14ac:dyDescent="0.25">
      <c r="A56" s="6" t="s">
        <v>29</v>
      </c>
      <c r="B56" s="4">
        <f t="shared" ref="B56:H56" si="28">((B12/B10)-1)*100</f>
        <v>148.40410461408487</v>
      </c>
      <c r="C56" s="18">
        <f t="shared" si="28"/>
        <v>162.19635489247756</v>
      </c>
      <c r="D56" s="4">
        <f t="shared" si="28"/>
        <v>70.509045014724464</v>
      </c>
      <c r="E56" s="4">
        <f t="shared" si="28"/>
        <v>63.677581863979846</v>
      </c>
      <c r="F56" s="4">
        <f t="shared" si="28"/>
        <v>105.05439330543931</v>
      </c>
      <c r="G56" s="4">
        <f t="shared" si="28"/>
        <v>15.189445196211103</v>
      </c>
      <c r="H56" s="4" t="e">
        <f t="shared" si="28"/>
        <v>#DIV/0!</v>
      </c>
      <c r="I56" s="4" t="e">
        <f t="shared" ref="I56" si="29">((I12/I10)-1)*100</f>
        <v>#VALUE!</v>
      </c>
    </row>
    <row r="57" spans="1:9" x14ac:dyDescent="0.25">
      <c r="A57" s="6" t="s">
        <v>30</v>
      </c>
      <c r="B57" s="4">
        <f t="shared" ref="B57:H57" si="30">((B33/B32)-1)*100</f>
        <v>-4.5983835610753037</v>
      </c>
      <c r="C57" s="18">
        <f t="shared" si="30"/>
        <v>-2.8779912479334868</v>
      </c>
      <c r="D57" s="4">
        <f t="shared" si="30"/>
        <v>-24.793876126704784</v>
      </c>
      <c r="E57" s="4">
        <f t="shared" si="30"/>
        <v>-32.531407892771092</v>
      </c>
      <c r="F57" s="4">
        <f t="shared" si="30"/>
        <v>77.242618949535014</v>
      </c>
      <c r="G57" s="4">
        <f t="shared" si="30"/>
        <v>-55.800136278036327</v>
      </c>
      <c r="H57" s="4" t="e">
        <f t="shared" si="30"/>
        <v>#DIV/0!</v>
      </c>
      <c r="I57" s="4" t="e">
        <f t="shared" ref="I57" si="31">((I33/I32)-1)*100</f>
        <v>#DIV/0!</v>
      </c>
    </row>
    <row r="58" spans="1:9" x14ac:dyDescent="0.25">
      <c r="A58" s="6" t="s">
        <v>31</v>
      </c>
      <c r="B58" s="4">
        <f t="shared" ref="B58:H58" si="32">((B35/B34)-1)*100</f>
        <v>-61.594186784015292</v>
      </c>
      <c r="C58" s="18">
        <f t="shared" si="32"/>
        <v>-62.958291776445677</v>
      </c>
      <c r="D58" s="4">
        <f t="shared" si="32"/>
        <v>-55.893176302288992</v>
      </c>
      <c r="E58" s="4">
        <f t="shared" si="32"/>
        <v>-58.779576690412625</v>
      </c>
      <c r="F58" s="4">
        <f t="shared" si="32"/>
        <v>-13.563120451887723</v>
      </c>
      <c r="G58" s="4">
        <f t="shared" si="32"/>
        <v>-61.628547088950178</v>
      </c>
      <c r="H58" s="4" t="e">
        <f t="shared" si="32"/>
        <v>#DIV/0!</v>
      </c>
      <c r="I58" s="4" t="e">
        <f t="shared" ref="I58" si="33">((I35/I34)-1)*100</f>
        <v>#VALUE!</v>
      </c>
    </row>
    <row r="59" spans="1:9" x14ac:dyDescent="0.25">
      <c r="B59" s="1"/>
      <c r="C59" s="1"/>
      <c r="D59" s="1"/>
    </row>
    <row r="60" spans="1:9" x14ac:dyDescent="0.25">
      <c r="A60" s="6" t="s">
        <v>32</v>
      </c>
    </row>
    <row r="61" spans="1:9" x14ac:dyDescent="0.25">
      <c r="A61" s="6" t="s">
        <v>64</v>
      </c>
      <c r="B61" s="4">
        <f>B17/(B11*6)</f>
        <v>16480.282045776272</v>
      </c>
      <c r="C61" s="18">
        <f t="shared" ref="C61:H61" si="34">C17/(C11*6)</f>
        <v>10999.813384303923</v>
      </c>
      <c r="D61" s="4">
        <f t="shared" si="34"/>
        <v>16998.888515280581</v>
      </c>
      <c r="E61" s="4">
        <f t="shared" si="34"/>
        <v>40000</v>
      </c>
      <c r="F61" s="4">
        <f t="shared" si="34"/>
        <v>70000</v>
      </c>
      <c r="G61" s="4">
        <f t="shared" si="34"/>
        <v>60000</v>
      </c>
      <c r="H61" s="4">
        <f t="shared" si="34"/>
        <v>208148.85165140161</v>
      </c>
      <c r="I61" s="4">
        <f t="shared" ref="I61" si="35">I17/(I11*6)</f>
        <v>59949.640287769784</v>
      </c>
    </row>
    <row r="62" spans="1:9" x14ac:dyDescent="0.25">
      <c r="A62" s="6" t="s">
        <v>65</v>
      </c>
      <c r="B62" s="4">
        <f>B18/(B12*6)</f>
        <v>5434.9561756871235</v>
      </c>
      <c r="C62" s="18">
        <f t="shared" ref="C62:H62" si="36">C18/(C12*6)</f>
        <v>4256.8758366102984</v>
      </c>
      <c r="D62" s="4">
        <f t="shared" si="36"/>
        <v>7833.610905502097</v>
      </c>
      <c r="E62" s="4">
        <f t="shared" si="36"/>
        <v>17225.813070688419</v>
      </c>
      <c r="F62" s="4">
        <f t="shared" si="36"/>
        <v>50712.210251387529</v>
      </c>
      <c r="G62" s="4">
        <f t="shared" si="36"/>
        <v>24052.863436123349</v>
      </c>
      <c r="H62" s="4" t="e">
        <f t="shared" si="36"/>
        <v>#DIV/0!</v>
      </c>
      <c r="I62" s="4">
        <f t="shared" ref="I62" si="37">I18/(I12*6)</f>
        <v>22426.470588235294</v>
      </c>
    </row>
    <row r="63" spans="1:9" x14ac:dyDescent="0.25">
      <c r="A63" s="6" t="s">
        <v>33</v>
      </c>
      <c r="B63" s="4">
        <f t="shared" ref="B63:H63" si="38">(B61/B62)*B46</f>
        <v>309.26839702760145</v>
      </c>
      <c r="C63" s="18">
        <f t="shared" si="38"/>
        <v>291.72049429456553</v>
      </c>
      <c r="D63" s="4">
        <f t="shared" si="38"/>
        <v>192.00456706912095</v>
      </c>
      <c r="E63" s="4">
        <f t="shared" si="38"/>
        <v>234.64111919620896</v>
      </c>
      <c r="F63" s="4">
        <f t="shared" si="38"/>
        <v>101.26355340567324</v>
      </c>
      <c r="G63" s="4">
        <f t="shared" si="38"/>
        <v>116.65481577246284</v>
      </c>
      <c r="H63" s="4" t="e">
        <f t="shared" si="38"/>
        <v>#DIV/0!</v>
      </c>
      <c r="I63" s="4">
        <f t="shared" ref="I63" si="39">(I61/I62)*I46</f>
        <v>35.938873611571886</v>
      </c>
    </row>
    <row r="64" spans="1:9" x14ac:dyDescent="0.25">
      <c r="B64" s="1"/>
      <c r="C64" s="1"/>
      <c r="D64" s="1"/>
    </row>
    <row r="65" spans="1:9" x14ac:dyDescent="0.25">
      <c r="A65" s="6" t="s">
        <v>34</v>
      </c>
      <c r="B65" s="1"/>
      <c r="C65" s="1"/>
      <c r="D65" s="1"/>
    </row>
    <row r="66" spans="1:9" x14ac:dyDescent="0.25">
      <c r="A66" s="6" t="s">
        <v>35</v>
      </c>
      <c r="B66" s="4">
        <f>(B24/B23)*100</f>
        <v>90.63390777782918</v>
      </c>
      <c r="C66" s="4"/>
      <c r="D66" s="4"/>
      <c r="E66" s="4"/>
      <c r="F66" s="4"/>
    </row>
    <row r="67" spans="1:9" x14ac:dyDescent="0.25">
      <c r="A67" s="6" t="s">
        <v>36</v>
      </c>
      <c r="B67" s="4">
        <f>(B18/B24)*100</f>
        <v>55.81566337930942</v>
      </c>
      <c r="C67" s="4"/>
      <c r="D67" s="4"/>
      <c r="E67" s="4"/>
      <c r="F67" s="4"/>
    </row>
    <row r="68" spans="1:9" ht="15.75" thickBot="1" x14ac:dyDescent="0.3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.75" thickTop="1" x14ac:dyDescent="0.25"/>
    <row r="70" spans="1:9" x14ac:dyDescent="0.25">
      <c r="A70" s="13" t="s">
        <v>63</v>
      </c>
    </row>
    <row r="71" spans="1:9" x14ac:dyDescent="0.25">
      <c r="A71" s="25" t="s">
        <v>116</v>
      </c>
    </row>
    <row r="72" spans="1:9" x14ac:dyDescent="0.25">
      <c r="A72" s="6" t="s">
        <v>117</v>
      </c>
      <c r="B72" s="14"/>
      <c r="C72" s="14"/>
    </row>
    <row r="76" spans="1:9" x14ac:dyDescent="0.25">
      <c r="A76" s="6" t="s">
        <v>110</v>
      </c>
    </row>
    <row r="77" spans="1:9" x14ac:dyDescent="0.25">
      <c r="A77" s="6" t="s">
        <v>111</v>
      </c>
    </row>
    <row r="78" spans="1:9" x14ac:dyDescent="0.25">
      <c r="A78" s="6" t="s">
        <v>118</v>
      </c>
    </row>
  </sheetData>
  <mergeCells count="4">
    <mergeCell ref="A4:A5"/>
    <mergeCell ref="B4:B5"/>
    <mergeCell ref="A2:G2"/>
    <mergeCell ref="C4:I4"/>
  </mergeCells>
  <hyperlinks>
    <hyperlink ref="I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topLeftCell="A55" zoomScale="90" zoomScaleNormal="90" workbookViewId="0">
      <selection activeCell="A78" sqref="A78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8" width="15" style="6" bestFit="1" customWidth="1"/>
    <col min="9" max="9" width="12.5703125" style="6" bestFit="1" customWidth="1"/>
    <col min="10" max="16384" width="11.42578125" style="6"/>
  </cols>
  <sheetData>
    <row r="2" spans="1:9" ht="15.75" x14ac:dyDescent="0.25">
      <c r="A2" s="30" t="s">
        <v>102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23" t="s">
        <v>2</v>
      </c>
      <c r="E5" s="23" t="s">
        <v>3</v>
      </c>
      <c r="F5" s="24" t="s">
        <v>38</v>
      </c>
      <c r="G5" s="24" t="s">
        <v>37</v>
      </c>
      <c r="H5" s="24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44</v>
      </c>
      <c r="B10" s="2">
        <f>SUM(C10:I10)</f>
        <v>75213.666666666657</v>
      </c>
      <c r="C10" s="17">
        <f>AVERAGE('I Trimestre'!C10,'II Trimestre'!C10,'III Trimestre'!C10)</f>
        <v>65666.777777777766</v>
      </c>
      <c r="D10" s="17">
        <f>AVERAGE('I Trimestre'!D10,'II Trimestre'!D10,'III Trimestre'!D10)</f>
        <v>6226</v>
      </c>
      <c r="E10" s="17">
        <f>AVERAGE('I Trimestre'!E10,'II Trimestre'!E10,'III Trimestre'!E10)</f>
        <v>1783.7777777777776</v>
      </c>
      <c r="F10" s="17">
        <f>AVERAGE('I Trimestre'!F10,'II Trimestre'!F10,'III Trimestre'!F10)</f>
        <v>1004.2222222222223</v>
      </c>
      <c r="G10" s="17">
        <f>AVERAGE('I Trimestre'!G10,'II Trimestre'!G10,'III Trimestre'!G10)</f>
        <v>532.8888888888888</v>
      </c>
      <c r="H10" s="17">
        <f>AVERAGE('I Trimestre'!H10,'II Trimestre'!H10,'III Trimestre'!H10)</f>
        <v>0</v>
      </c>
      <c r="I10" s="6" t="s">
        <v>113</v>
      </c>
    </row>
    <row r="11" spans="1:9" x14ac:dyDescent="0.25">
      <c r="A11" s="3" t="s">
        <v>82</v>
      </c>
      <c r="B11" s="2">
        <f t="shared" ref="B11:B13" si="0">SUM(C11:I11)</f>
        <v>105837.33333333333</v>
      </c>
      <c r="C11" s="17">
        <f>AVERAGE('I Trimestre'!C11,'II Trimestre'!C11,'III Trimestre'!C11)</f>
        <v>89724</v>
      </c>
      <c r="D11" s="17">
        <f>AVERAGE('I Trimestre'!D11,'II Trimestre'!D11,'III Trimestre'!D11)</f>
        <v>8922</v>
      </c>
      <c r="E11" s="17">
        <f>AVERAGE('I Trimestre'!E11,'II Trimestre'!E11,'III Trimestre'!E11)</f>
        <v>2300</v>
      </c>
      <c r="F11" s="17">
        <f>AVERAGE('I Trimestre'!F11,'II Trimestre'!F11,'III Trimestre'!F11)</f>
        <v>2400</v>
      </c>
      <c r="G11" s="17">
        <f>AVERAGE('I Trimestre'!G11,'II Trimestre'!G11,'III Trimestre'!G11)</f>
        <v>850</v>
      </c>
      <c r="H11" s="17">
        <f>AVERAGE('I Trimestre'!H11,'II Trimestre'!H11,'III Trimestre'!H11)</f>
        <v>946.33333333333337</v>
      </c>
      <c r="I11" s="17">
        <f>AVERAGE('I Trimestre'!I11,'II Trimestre'!I11,'III Trimestre'!I11)</f>
        <v>695</v>
      </c>
    </row>
    <row r="12" spans="1:9" x14ac:dyDescent="0.25">
      <c r="A12" s="3" t="s">
        <v>83</v>
      </c>
      <c r="B12" s="2">
        <f t="shared" si="0"/>
        <v>250152.66666666666</v>
      </c>
      <c r="C12" s="17">
        <f>AVERAGE('I Trimestre'!C12,'II Trimestre'!C12,'III Trimestre'!C12)</f>
        <v>222149.33333333334</v>
      </c>
      <c r="D12" s="17">
        <f>AVERAGE('I Trimestre'!D12,'II Trimestre'!D12,'III Trimestre'!D12)</f>
        <v>18722.666666666668</v>
      </c>
      <c r="E12" s="17">
        <f>AVERAGE('I Trimestre'!E12,'II Trimestre'!E12,'III Trimestre'!E12)</f>
        <v>5128</v>
      </c>
      <c r="F12" s="17">
        <f>AVERAGE('I Trimestre'!F12,'II Trimestre'!F12,'III Trimestre'!F12)</f>
        <v>3048</v>
      </c>
      <c r="G12" s="17">
        <f>AVERAGE('I Trimestre'!G12,'II Trimestre'!G12,'III Trimestre'!G12)</f>
        <v>932</v>
      </c>
      <c r="H12" s="17">
        <f>AVERAGE('I Trimestre'!H12,'II Trimestre'!H12,'III Trimestre'!H12)</f>
        <v>0</v>
      </c>
      <c r="I12" s="17">
        <f>AVERAGE('I Trimestre'!I12,'II Trimestre'!I12,'III Trimestre'!I12)</f>
        <v>172.66666666666666</v>
      </c>
    </row>
    <row r="13" spans="1:9" x14ac:dyDescent="0.25">
      <c r="A13" s="3" t="s">
        <v>69</v>
      </c>
      <c r="B13" s="2">
        <f t="shared" si="0"/>
        <v>107942</v>
      </c>
      <c r="C13" s="17">
        <f>'III Trimestre'!C13</f>
        <v>92338</v>
      </c>
      <c r="D13" s="17">
        <f>'III Trimestre'!D13</f>
        <v>8922</v>
      </c>
      <c r="E13" s="17">
        <f>'III Trimestre'!E13</f>
        <v>2300</v>
      </c>
      <c r="F13" s="17">
        <f>'III Trimestre'!F13</f>
        <v>2400</v>
      </c>
      <c r="G13" s="17">
        <f>'III Trimestre'!G13</f>
        <v>850</v>
      </c>
      <c r="H13" s="17">
        <f>'III Trimestre'!H13</f>
        <v>437</v>
      </c>
      <c r="I13" s="17">
        <f>'III Trimestre'!I13</f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44</v>
      </c>
      <c r="B16" s="2">
        <f>SUM(C16:I16)</f>
        <v>8952763518.460001</v>
      </c>
      <c r="C16" s="17">
        <f>'I Trimestre'!C16+'II Trimestre'!C16+'III Trimestre'!C16</f>
        <v>6501011000</v>
      </c>
      <c r="D16" s="17">
        <f>'I Trimestre'!D16+'II Trimestre'!D16+'III Trimestre'!D16</f>
        <v>952578000</v>
      </c>
      <c r="E16" s="17">
        <f>'I Trimestre'!E16+'II Trimestre'!E16+'III Trimestre'!E16</f>
        <v>642160000</v>
      </c>
      <c r="F16" s="17">
        <f>'I Trimestre'!F16+'II Trimestre'!F16+'III Trimestre'!F16</f>
        <v>569254518.46000028</v>
      </c>
      <c r="G16" s="17">
        <f>'I Trimestre'!G16+'II Trimestre'!G16+'III Trimestre'!G16</f>
        <v>287760000</v>
      </c>
      <c r="H16" s="17">
        <f>'I Trimestre'!H16+'II Trimestre'!H16+'III Trimestre'!H16</f>
        <v>0</v>
      </c>
      <c r="I16" s="17">
        <f>'I Trimestre'!I16+'II Trimestre'!I16+'III Trimestre'!I16</f>
        <v>0</v>
      </c>
    </row>
    <row r="17" spans="1:9" x14ac:dyDescent="0.25">
      <c r="A17" s="3" t="s">
        <v>82</v>
      </c>
      <c r="B17" s="2">
        <f t="shared" ref="B17:B20" si="1">SUM(C17:I17)</f>
        <v>15541977187.5</v>
      </c>
      <c r="C17" s="17">
        <f>'I Trimestre'!C17+'II Trimestre'!C17+'III Trimestre'!C17</f>
        <v>8753134500</v>
      </c>
      <c r="D17" s="17">
        <f>'I Trimestre'!D17+'II Trimestre'!D17+'III Trimestre'!D17</f>
        <v>1364976750</v>
      </c>
      <c r="E17" s="17">
        <f>'I Trimestre'!E17+'II Trimestre'!E17+'III Trimestre'!E17</f>
        <v>828000000</v>
      </c>
      <c r="F17" s="17">
        <f>'I Trimestre'!F17+'II Trimestre'!F17+'III Trimestre'!F17</f>
        <v>1512000000</v>
      </c>
      <c r="G17" s="17">
        <f>'I Trimestre'!G17+'II Trimestre'!G17+'III Trimestre'!G17</f>
        <v>459000000</v>
      </c>
      <c r="H17" s="17">
        <f>'I Trimestre'!H17+'II Trimestre'!H17+'III Trimestre'!H17</f>
        <v>2249880937.5</v>
      </c>
      <c r="I17" s="17">
        <f>'I Trimestre'!I17+'II Trimestre'!I17+'III Trimestre'!I17</f>
        <v>374985000</v>
      </c>
    </row>
    <row r="18" spans="1:9" x14ac:dyDescent="0.25">
      <c r="A18" s="3" t="s">
        <v>83</v>
      </c>
      <c r="B18" s="2">
        <f t="shared" si="1"/>
        <v>10759957000</v>
      </c>
      <c r="C18" s="17">
        <f>'I Trimestre'!C18+'II Trimestre'!C18+'III Trimestre'!C18</f>
        <v>7700935000</v>
      </c>
      <c r="D18" s="17">
        <f>'I Trimestre'!D18+'II Trimestre'!D18+'III Trimestre'!D18</f>
        <v>1072853000</v>
      </c>
      <c r="E18" s="17">
        <f>'I Trimestre'!E18+'II Trimestre'!E18+'III Trimestre'!E18</f>
        <v>712840000</v>
      </c>
      <c r="F18" s="17">
        <f>'I Trimestre'!F18+'II Trimestre'!F18+'III Trimestre'!F18</f>
        <v>1039029000</v>
      </c>
      <c r="G18" s="17">
        <f>'I Trimestre'!G18+'II Trimestre'!G18+'III Trimestre'!G18</f>
        <v>201240000</v>
      </c>
      <c r="H18" s="17">
        <f>'I Trimestre'!H18+'II Trimestre'!H18+'III Trimestre'!H18</f>
        <v>0</v>
      </c>
      <c r="I18" s="17">
        <f>'I Trimestre'!I18+'II Trimestre'!I18+'III Trimestre'!I18</f>
        <v>33060000</v>
      </c>
    </row>
    <row r="19" spans="1:9" x14ac:dyDescent="0.25">
      <c r="A19" s="3" t="s">
        <v>69</v>
      </c>
      <c r="B19" s="2">
        <f t="shared" si="1"/>
        <v>20722636250</v>
      </c>
      <c r="C19" s="17">
        <f>287100000+595980000+10191643000+596123000</f>
        <v>11670846000</v>
      </c>
      <c r="D19" s="17">
        <f>1224000000+595969000</f>
        <v>1819969000</v>
      </c>
      <c r="E19" s="17">
        <v>1104000000</v>
      </c>
      <c r="F19" s="17">
        <v>2016000000</v>
      </c>
      <c r="G19" s="17">
        <v>612000000</v>
      </c>
      <c r="H19" s="17">
        <v>2999841250</v>
      </c>
      <c r="I19" s="17">
        <v>499980000</v>
      </c>
    </row>
    <row r="20" spans="1:9" x14ac:dyDescent="0.25">
      <c r="A20" s="3" t="s">
        <v>84</v>
      </c>
      <c r="B20" s="2">
        <f t="shared" si="1"/>
        <v>10759957000</v>
      </c>
      <c r="C20" s="17">
        <f>C18</f>
        <v>7700935000</v>
      </c>
      <c r="D20" s="17">
        <f t="shared" ref="D20:I20" si="2">D18</f>
        <v>1072853000</v>
      </c>
      <c r="E20" s="17">
        <f t="shared" si="2"/>
        <v>712840000</v>
      </c>
      <c r="F20" s="17">
        <f t="shared" si="2"/>
        <v>1039029000</v>
      </c>
      <c r="G20" s="17">
        <f t="shared" si="2"/>
        <v>201240000</v>
      </c>
      <c r="H20" s="17">
        <f t="shared" si="2"/>
        <v>0</v>
      </c>
      <c r="I20" s="17">
        <f t="shared" si="2"/>
        <v>33060000</v>
      </c>
    </row>
    <row r="21" spans="1:9" x14ac:dyDescent="0.25">
      <c r="B21" s="2"/>
      <c r="C21" s="2"/>
      <c r="D21" s="2"/>
    </row>
    <row r="22" spans="1:9" x14ac:dyDescent="0.25">
      <c r="A22" s="5" t="s">
        <v>8</v>
      </c>
      <c r="B22" s="2"/>
      <c r="C22" s="2"/>
      <c r="D22" s="2"/>
    </row>
    <row r="23" spans="1:9" x14ac:dyDescent="0.25">
      <c r="A23" s="3" t="s">
        <v>82</v>
      </c>
      <c r="B23" s="4">
        <f>B17</f>
        <v>15541977187.5</v>
      </c>
    </row>
    <row r="24" spans="1:9" x14ac:dyDescent="0.25">
      <c r="A24" s="3" t="s">
        <v>83</v>
      </c>
      <c r="B24" s="4">
        <f>+'I Trimestre'!B24+'II Trimestre'!B24+'III Trimestre'!B24</f>
        <v>12880668629.48</v>
      </c>
    </row>
    <row r="25" spans="1:9" x14ac:dyDescent="0.25">
      <c r="B25" s="4"/>
      <c r="C25" s="4"/>
      <c r="D25" s="4"/>
      <c r="E25" s="4"/>
      <c r="F25" s="4"/>
      <c r="G25" s="4"/>
      <c r="H25" s="4"/>
    </row>
    <row r="26" spans="1:9" x14ac:dyDescent="0.25">
      <c r="A26" s="6" t="s">
        <v>9</v>
      </c>
      <c r="B26" s="4"/>
      <c r="C26" s="4"/>
      <c r="D26" s="4"/>
      <c r="E26" s="4"/>
      <c r="F26" s="4"/>
      <c r="G26" s="4"/>
      <c r="H26" s="4"/>
    </row>
    <row r="27" spans="1:9" x14ac:dyDescent="0.25">
      <c r="A27" s="6" t="s">
        <v>45</v>
      </c>
      <c r="B27" s="22">
        <v>1.4617491794222224</v>
      </c>
      <c r="C27" s="22">
        <v>1.4617491794222224</v>
      </c>
      <c r="D27" s="22">
        <v>1.4617491794222224</v>
      </c>
      <c r="E27" s="22">
        <v>1.4617491794222224</v>
      </c>
      <c r="F27" s="22">
        <v>1.4617491794222224</v>
      </c>
      <c r="G27" s="22">
        <v>1.4617491794222224</v>
      </c>
      <c r="H27" s="22">
        <v>1.4617491794222224</v>
      </c>
      <c r="I27" s="22">
        <v>1.4617491794222224</v>
      </c>
    </row>
    <row r="28" spans="1:9" x14ac:dyDescent="0.25">
      <c r="A28" s="6" t="s">
        <v>85</v>
      </c>
      <c r="B28" s="22">
        <v>1.5258720344444443</v>
      </c>
      <c r="C28" s="22">
        <v>1.5258720344444443</v>
      </c>
      <c r="D28" s="22">
        <v>1.5258720344444443</v>
      </c>
      <c r="E28" s="22">
        <v>1.5258720344444443</v>
      </c>
      <c r="F28" s="22">
        <v>1.5258720344444443</v>
      </c>
      <c r="G28" s="22">
        <v>1.5258720344444443</v>
      </c>
      <c r="H28" s="22">
        <v>1.5258720344444443</v>
      </c>
      <c r="I28" s="22">
        <v>1.5258720344444443</v>
      </c>
    </row>
    <row r="29" spans="1:9" x14ac:dyDescent="0.25">
      <c r="A29" s="3" t="s">
        <v>11</v>
      </c>
      <c r="B29" s="17">
        <f>SUM(C29:I29)</f>
        <v>259781</v>
      </c>
      <c r="C29" s="19">
        <v>223258</v>
      </c>
      <c r="D29" s="17">
        <v>8954</v>
      </c>
      <c r="E29" s="15">
        <v>8954</v>
      </c>
      <c r="F29" s="17">
        <v>18615</v>
      </c>
      <c r="G29" s="17" t="s">
        <v>60</v>
      </c>
      <c r="H29" s="6" t="s">
        <v>60</v>
      </c>
      <c r="I29" s="6" t="s">
        <v>60</v>
      </c>
    </row>
    <row r="31" spans="1:9" x14ac:dyDescent="0.25">
      <c r="A31" s="6" t="s">
        <v>12</v>
      </c>
    </row>
    <row r="32" spans="1:9" x14ac:dyDescent="0.25">
      <c r="A32" s="6" t="s">
        <v>46</v>
      </c>
      <c r="B32" s="2">
        <f t="shared" ref="B32:H32" si="3">B16/B27</f>
        <v>6124692009.0618496</v>
      </c>
      <c r="C32" s="17">
        <f t="shared" si="3"/>
        <v>4447418949.5147305</v>
      </c>
      <c r="D32" s="2">
        <f t="shared" si="3"/>
        <v>651669939.96639037</v>
      </c>
      <c r="E32" s="2">
        <f t="shared" si="3"/>
        <v>439309293.98833191</v>
      </c>
      <c r="F32" s="2">
        <f t="shared" si="3"/>
        <v>389433786.91343367</v>
      </c>
      <c r="G32" s="2">
        <f t="shared" si="3"/>
        <v>196860038.67896223</v>
      </c>
      <c r="H32" s="2">
        <f t="shared" si="3"/>
        <v>0</v>
      </c>
      <c r="I32" s="2">
        <f t="shared" ref="I32" si="4">I16/I27</f>
        <v>0</v>
      </c>
    </row>
    <row r="33" spans="1:9" x14ac:dyDescent="0.25">
      <c r="A33" s="6" t="s">
        <v>86</v>
      </c>
      <c r="B33" s="2">
        <f t="shared" ref="B33:H33" si="5">B18/B28</f>
        <v>7051677176.7939243</v>
      </c>
      <c r="C33" s="17">
        <f t="shared" si="5"/>
        <v>5046907490.3806324</v>
      </c>
      <c r="D33" s="2">
        <f t="shared" si="5"/>
        <v>703108108.53192925</v>
      </c>
      <c r="E33" s="2">
        <f t="shared" si="5"/>
        <v>467168926.29829103</v>
      </c>
      <c r="F33" s="2">
        <f t="shared" si="5"/>
        <v>680941112.06271684</v>
      </c>
      <c r="G33" s="2">
        <f t="shared" si="5"/>
        <v>131885240.3460357</v>
      </c>
      <c r="H33" s="2">
        <f t="shared" si="5"/>
        <v>0</v>
      </c>
      <c r="I33" s="2">
        <f t="shared" ref="I33" si="6">I18/I28</f>
        <v>21666299.174318925</v>
      </c>
    </row>
    <row r="34" spans="1:9" x14ac:dyDescent="0.25">
      <c r="A34" s="6" t="s">
        <v>47</v>
      </c>
      <c r="B34" s="2">
        <f t="shared" ref="B34:H34" si="7">B32/B10</f>
        <v>81430.573464864763</v>
      </c>
      <c r="C34" s="17">
        <f t="shared" si="7"/>
        <v>67727.077527165908</v>
      </c>
      <c r="D34" s="2">
        <f t="shared" si="7"/>
        <v>104669.11981471095</v>
      </c>
      <c r="E34" s="2">
        <f t="shared" si="7"/>
        <v>246280.28191696695</v>
      </c>
      <c r="F34" s="2">
        <f t="shared" si="7"/>
        <v>387796.42423333734</v>
      </c>
      <c r="G34" s="2">
        <f t="shared" si="7"/>
        <v>369420.42287545046</v>
      </c>
      <c r="H34" s="2" t="e">
        <f t="shared" si="7"/>
        <v>#DIV/0!</v>
      </c>
      <c r="I34" s="2" t="e">
        <f t="shared" ref="I34" si="8">I32/I10</f>
        <v>#VALUE!</v>
      </c>
    </row>
    <row r="35" spans="1:9" x14ac:dyDescent="0.25">
      <c r="A35" s="6" t="s">
        <v>87</v>
      </c>
      <c r="B35" s="2">
        <f t="shared" ref="B35:H35" si="9">B33/B12</f>
        <v>28189.494322642673</v>
      </c>
      <c r="C35" s="17">
        <f t="shared" si="9"/>
        <v>22718.535386319556</v>
      </c>
      <c r="D35" s="2">
        <f t="shared" si="9"/>
        <v>37553.844281366393</v>
      </c>
      <c r="E35" s="2">
        <f t="shared" si="9"/>
        <v>91101.58469155441</v>
      </c>
      <c r="F35" s="2">
        <f t="shared" si="9"/>
        <v>223405.87666099635</v>
      </c>
      <c r="G35" s="2">
        <f t="shared" si="9"/>
        <v>141507.76861162629</v>
      </c>
      <c r="H35" s="2" t="e">
        <f t="shared" si="9"/>
        <v>#DIV/0!</v>
      </c>
      <c r="I35" s="2">
        <f t="shared" ref="I35" si="10">I33/I12</f>
        <v>125480.49714856521</v>
      </c>
    </row>
    <row r="37" spans="1:9" x14ac:dyDescent="0.25">
      <c r="A37" s="9" t="s">
        <v>15</v>
      </c>
    </row>
    <row r="39" spans="1:9" x14ac:dyDescent="0.25">
      <c r="A39" s="6" t="s">
        <v>16</v>
      </c>
    </row>
    <row r="40" spans="1:9" x14ac:dyDescent="0.25">
      <c r="A40" s="6" t="s">
        <v>17</v>
      </c>
      <c r="B40" s="18">
        <f>(B11/B29)*100</f>
        <v>40.740983110132504</v>
      </c>
      <c r="C40" s="18">
        <f>(C11/C29)*100</f>
        <v>40.188481487785431</v>
      </c>
      <c r="D40" s="18">
        <f t="shared" ref="D40:F40" si="11">(D11/D29)*100</f>
        <v>99.642617824436002</v>
      </c>
      <c r="E40" s="18">
        <f t="shared" si="11"/>
        <v>25.686843868662052</v>
      </c>
      <c r="F40" s="18">
        <f t="shared" si="11"/>
        <v>12.8928283642224</v>
      </c>
      <c r="G40" s="17" t="s">
        <v>60</v>
      </c>
      <c r="H40" s="17" t="s">
        <v>60</v>
      </c>
      <c r="I40" s="17" t="s">
        <v>60</v>
      </c>
    </row>
    <row r="41" spans="1:9" x14ac:dyDescent="0.25">
      <c r="A41" s="6" t="s">
        <v>18</v>
      </c>
      <c r="B41" s="18">
        <f>(B12/B29)*100</f>
        <v>96.293673004055975</v>
      </c>
      <c r="C41" s="18">
        <f>(C12/C29)*100</f>
        <v>99.503414584621083</v>
      </c>
      <c r="D41" s="18">
        <f t="shared" ref="D41:F41" si="12">(D12/D29)*100</f>
        <v>209.09835455290002</v>
      </c>
      <c r="E41" s="18">
        <f t="shared" si="12"/>
        <v>57.270493634129991</v>
      </c>
      <c r="F41" s="18">
        <f t="shared" si="12"/>
        <v>16.373892022562451</v>
      </c>
      <c r="G41" s="17" t="s">
        <v>60</v>
      </c>
      <c r="H41" s="17" t="s">
        <v>60</v>
      </c>
      <c r="I41" s="17" t="s">
        <v>60</v>
      </c>
    </row>
    <row r="43" spans="1:9" x14ac:dyDescent="0.25">
      <c r="A43" s="6" t="s">
        <v>19</v>
      </c>
    </row>
    <row r="44" spans="1:9" x14ac:dyDescent="0.25">
      <c r="A44" s="6" t="s">
        <v>20</v>
      </c>
      <c r="B44" s="4">
        <f t="shared" ref="B44:H44" si="13">B12/B11*100</f>
        <v>236.35579127718009</v>
      </c>
      <c r="C44" s="18">
        <f t="shared" si="13"/>
        <v>247.59187434057037</v>
      </c>
      <c r="D44" s="4">
        <f t="shared" si="13"/>
        <v>209.84831502652619</v>
      </c>
      <c r="E44" s="4">
        <f t="shared" si="13"/>
        <v>222.95652173913047</v>
      </c>
      <c r="F44" s="4">
        <f t="shared" si="13"/>
        <v>127</v>
      </c>
      <c r="G44" s="4">
        <f t="shared" si="13"/>
        <v>109.64705882352941</v>
      </c>
      <c r="H44" s="4">
        <f t="shared" si="13"/>
        <v>0</v>
      </c>
      <c r="I44" s="4">
        <f t="shared" ref="I44" si="14">I12/I11*100</f>
        <v>24.844124700239806</v>
      </c>
    </row>
    <row r="45" spans="1:9" x14ac:dyDescent="0.25">
      <c r="A45" s="6" t="s">
        <v>21</v>
      </c>
      <c r="B45" s="4">
        <f t="shared" ref="B45:H45" si="15">B18/B17*100</f>
        <v>69.231584052600127</v>
      </c>
      <c r="C45" s="18">
        <f t="shared" si="15"/>
        <v>87.979169062237077</v>
      </c>
      <c r="D45" s="4">
        <f t="shared" si="15"/>
        <v>78.598628145131414</v>
      </c>
      <c r="E45" s="4">
        <f t="shared" si="15"/>
        <v>86.091787439613526</v>
      </c>
      <c r="F45" s="4">
        <f t="shared" si="15"/>
        <v>68.718849206349205</v>
      </c>
      <c r="G45" s="4">
        <f t="shared" si="15"/>
        <v>43.843137254901961</v>
      </c>
      <c r="H45" s="4">
        <f t="shared" si="15"/>
        <v>0</v>
      </c>
      <c r="I45" s="4">
        <f t="shared" ref="I45" si="16">I18/I17*100</f>
        <v>8.816352654106165</v>
      </c>
    </row>
    <row r="46" spans="1:9" x14ac:dyDescent="0.25">
      <c r="A46" s="6" t="s">
        <v>22</v>
      </c>
      <c r="B46" s="4">
        <f t="shared" ref="B46:H46" si="17">AVERAGE(B44:B45)</f>
        <v>152.79368766489011</v>
      </c>
      <c r="C46" s="18">
        <f t="shared" si="17"/>
        <v>167.78552170140372</v>
      </c>
      <c r="D46" s="4">
        <f t="shared" si="17"/>
        <v>144.2234715858288</v>
      </c>
      <c r="E46" s="4">
        <f t="shared" si="17"/>
        <v>154.52415458937199</v>
      </c>
      <c r="F46" s="4">
        <f t="shared" si="17"/>
        <v>97.859424603174602</v>
      </c>
      <c r="G46" s="4">
        <f t="shared" si="17"/>
        <v>76.745098039215691</v>
      </c>
      <c r="H46" s="4">
        <f t="shared" si="17"/>
        <v>0</v>
      </c>
      <c r="I46" s="4">
        <f t="shared" ref="I46" si="18">AVERAGE(I44:I45)</f>
        <v>16.830238677172986</v>
      </c>
    </row>
    <row r="47" spans="1:9" x14ac:dyDescent="0.25">
      <c r="B47" s="1"/>
      <c r="C47" s="1"/>
      <c r="D47" s="1"/>
    </row>
    <row r="48" spans="1:9" x14ac:dyDescent="0.25">
      <c r="A48" s="6" t="s">
        <v>23</v>
      </c>
    </row>
    <row r="49" spans="1:9" x14ac:dyDescent="0.25">
      <c r="A49" s="6" t="s">
        <v>24</v>
      </c>
      <c r="B49" s="4">
        <f t="shared" ref="B49:H49" si="19">B12/B13*100</f>
        <v>231.74729638756614</v>
      </c>
      <c r="C49" s="18">
        <f t="shared" si="19"/>
        <v>240.58278642956674</v>
      </c>
      <c r="D49" s="4">
        <f t="shared" si="19"/>
        <v>209.84831502652619</v>
      </c>
      <c r="E49" s="4">
        <f t="shared" si="19"/>
        <v>222.95652173913047</v>
      </c>
      <c r="F49" s="4">
        <f t="shared" si="19"/>
        <v>127</v>
      </c>
      <c r="G49" s="4">
        <f t="shared" si="19"/>
        <v>109.64705882352941</v>
      </c>
      <c r="H49" s="4">
        <f t="shared" si="19"/>
        <v>0</v>
      </c>
      <c r="I49" s="4">
        <f t="shared" ref="I49" si="20">I12/I13*100</f>
        <v>24.844124700239806</v>
      </c>
    </row>
    <row r="50" spans="1:9" x14ac:dyDescent="0.25">
      <c r="A50" s="6" t="s">
        <v>25</v>
      </c>
      <c r="B50" s="4">
        <f t="shared" ref="B50:H50" si="21">B18/B19*100</f>
        <v>51.923688039450099</v>
      </c>
      <c r="C50" s="18">
        <f t="shared" si="21"/>
        <v>65.984376796677807</v>
      </c>
      <c r="D50" s="4">
        <f t="shared" si="21"/>
        <v>58.948971108848561</v>
      </c>
      <c r="E50" s="4">
        <f t="shared" si="21"/>
        <v>64.568840579710141</v>
      </c>
      <c r="F50" s="4">
        <f t="shared" si="21"/>
        <v>51.539136904761904</v>
      </c>
      <c r="G50" s="4">
        <f t="shared" si="21"/>
        <v>32.882352941176471</v>
      </c>
      <c r="H50" s="4">
        <f t="shared" si="21"/>
        <v>0</v>
      </c>
      <c r="I50" s="4">
        <f t="shared" ref="I50" si="22">I18/I19*100</f>
        <v>6.6122644905796237</v>
      </c>
    </row>
    <row r="51" spans="1:9" x14ac:dyDescent="0.25">
      <c r="A51" s="6" t="s">
        <v>26</v>
      </c>
      <c r="B51" s="4">
        <f t="shared" ref="B51:H51" si="23">(B49+B50)/2</f>
        <v>141.83549221350813</v>
      </c>
      <c r="C51" s="18">
        <f t="shared" si="23"/>
        <v>153.28358161312227</v>
      </c>
      <c r="D51" s="4">
        <f t="shared" si="23"/>
        <v>134.39864306768737</v>
      </c>
      <c r="E51" s="4">
        <f t="shared" si="23"/>
        <v>143.76268115942031</v>
      </c>
      <c r="F51" s="4">
        <f t="shared" si="23"/>
        <v>89.269568452380952</v>
      </c>
      <c r="G51" s="4">
        <f t="shared" si="23"/>
        <v>71.264705882352942</v>
      </c>
      <c r="H51" s="4">
        <f t="shared" si="23"/>
        <v>0</v>
      </c>
      <c r="I51" s="4">
        <f t="shared" ref="I51" si="24">(I49+I50)/2</f>
        <v>15.728194595409715</v>
      </c>
    </row>
    <row r="53" spans="1:9" x14ac:dyDescent="0.25">
      <c r="A53" s="6" t="s">
        <v>27</v>
      </c>
      <c r="B53" s="4">
        <f>B20/B18*100</f>
        <v>100</v>
      </c>
      <c r="C53" s="18">
        <f>C20/C18*100</f>
        <v>100</v>
      </c>
      <c r="D53" s="4">
        <f>D20/D18*100</f>
        <v>100</v>
      </c>
      <c r="E53" s="4">
        <f>E20/E18*100</f>
        <v>100</v>
      </c>
      <c r="F53" s="11" t="s">
        <v>61</v>
      </c>
    </row>
    <row r="55" spans="1:9" x14ac:dyDescent="0.25">
      <c r="A55" s="6" t="s">
        <v>28</v>
      </c>
    </row>
    <row r="56" spans="1:9" x14ac:dyDescent="0.25">
      <c r="A56" s="6" t="s">
        <v>29</v>
      </c>
      <c r="B56" s="4">
        <f t="shared" ref="B56:H56" si="25">((B12/B10)-1)*100</f>
        <v>232.58937870333853</v>
      </c>
      <c r="C56" s="18">
        <f t="shared" si="25"/>
        <v>238.29790474127802</v>
      </c>
      <c r="D56" s="4">
        <f t="shared" si="25"/>
        <v>200.71742156547811</v>
      </c>
      <c r="E56" s="4">
        <f t="shared" si="25"/>
        <v>187.4797558240937</v>
      </c>
      <c r="F56" s="4">
        <f t="shared" si="25"/>
        <v>203.51847753927856</v>
      </c>
      <c r="G56" s="4">
        <f t="shared" si="25"/>
        <v>74.895746455379509</v>
      </c>
      <c r="H56" s="4" t="e">
        <f t="shared" si="25"/>
        <v>#DIV/0!</v>
      </c>
      <c r="I56" s="4" t="e">
        <f t="shared" ref="I56" si="26">((I12/I10)-1)*100</f>
        <v>#VALUE!</v>
      </c>
    </row>
    <row r="57" spans="1:9" x14ac:dyDescent="0.25">
      <c r="A57" s="6" t="s">
        <v>30</v>
      </c>
      <c r="B57" s="4">
        <f t="shared" ref="B57:H57" si="27">((B33/B32)-1)*100</f>
        <v>15.135212780667896</v>
      </c>
      <c r="C57" s="18">
        <f t="shared" si="27"/>
        <v>13.479470849745635</v>
      </c>
      <c r="D57" s="4">
        <f t="shared" si="27"/>
        <v>7.8932854518641404</v>
      </c>
      <c r="E57" s="4">
        <f t="shared" si="27"/>
        <v>6.3416897141035822</v>
      </c>
      <c r="F57" s="4">
        <f t="shared" si="27"/>
        <v>74.854143360211751</v>
      </c>
      <c r="G57" s="4">
        <f t="shared" si="27"/>
        <v>-33.005580395565659</v>
      </c>
      <c r="H57" s="4" t="e">
        <f t="shared" si="27"/>
        <v>#DIV/0!</v>
      </c>
      <c r="I57" s="4" t="e">
        <f t="shared" ref="I57" si="28">((I33/I32)-1)*100</f>
        <v>#DIV/0!</v>
      </c>
    </row>
    <row r="58" spans="1:9" x14ac:dyDescent="0.25">
      <c r="A58" s="6" t="s">
        <v>31</v>
      </c>
      <c r="B58" s="4">
        <f t="shared" ref="B58:H58" si="29">((B35/B34)-1)*100</f>
        <v>-65.382173889754398</v>
      </c>
      <c r="C58" s="18">
        <f t="shared" si="29"/>
        <v>-66.45575711249765</v>
      </c>
      <c r="D58" s="4">
        <f t="shared" si="29"/>
        <v>-64.121371854616186</v>
      </c>
      <c r="E58" s="4">
        <f t="shared" si="29"/>
        <v>-63.008981481404525</v>
      </c>
      <c r="F58" s="4">
        <f t="shared" si="29"/>
        <v>-42.390939498046301</v>
      </c>
      <c r="G58" s="4">
        <f t="shared" si="29"/>
        <v>-61.694654694460297</v>
      </c>
      <c r="H58" s="4" t="e">
        <f t="shared" si="29"/>
        <v>#DIV/0!</v>
      </c>
      <c r="I58" s="4" t="e">
        <f t="shared" ref="I58" si="30">((I35/I34)-1)*100</f>
        <v>#VALUE!</v>
      </c>
    </row>
    <row r="59" spans="1:9" x14ac:dyDescent="0.25">
      <c r="B59" s="1"/>
      <c r="C59" s="1"/>
      <c r="D59" s="1"/>
    </row>
    <row r="60" spans="1:9" x14ac:dyDescent="0.25">
      <c r="A60" s="6" t="s">
        <v>32</v>
      </c>
    </row>
    <row r="61" spans="1:9" x14ac:dyDescent="0.25">
      <c r="A61" s="6" t="s">
        <v>64</v>
      </c>
      <c r="B61" s="4">
        <f>B17/(B11*9)</f>
        <v>16316.419733742347</v>
      </c>
      <c r="C61" s="18">
        <f t="shared" ref="C61:H61" si="31">C17/(C11*9)</f>
        <v>10839.580268378582</v>
      </c>
      <c r="D61" s="4">
        <f t="shared" si="31"/>
        <v>16998.888515280581</v>
      </c>
      <c r="E61" s="4">
        <f t="shared" si="31"/>
        <v>40000</v>
      </c>
      <c r="F61" s="4">
        <f t="shared" si="31"/>
        <v>70000</v>
      </c>
      <c r="G61" s="4">
        <f t="shared" si="31"/>
        <v>60000</v>
      </c>
      <c r="H61" s="4">
        <f t="shared" si="31"/>
        <v>264163.5479041916</v>
      </c>
      <c r="I61" s="4">
        <f t="shared" ref="I61" si="32">I17/(I11*9)</f>
        <v>59949.640287769784</v>
      </c>
    </row>
    <row r="62" spans="1:9" x14ac:dyDescent="0.25">
      <c r="A62" s="6" t="s">
        <v>65</v>
      </c>
      <c r="B62" s="4">
        <f>B18/(B12*9)</f>
        <v>4779.2845613389864</v>
      </c>
      <c r="C62" s="18">
        <f t="shared" ref="C62:H62" si="33">C18/(C12*9)</f>
        <v>3851.7308677246137</v>
      </c>
      <c r="D62" s="4">
        <f t="shared" si="33"/>
        <v>6366.9289749798227</v>
      </c>
      <c r="E62" s="4">
        <f t="shared" si="33"/>
        <v>15445.484486046109</v>
      </c>
      <c r="F62" s="4">
        <f t="shared" si="33"/>
        <v>37876.531058617671</v>
      </c>
      <c r="G62" s="4">
        <f t="shared" si="33"/>
        <v>23991.416309012875</v>
      </c>
      <c r="H62" s="4" t="e">
        <f t="shared" si="33"/>
        <v>#DIV/0!</v>
      </c>
      <c r="I62" s="4">
        <f t="shared" ref="I62" si="34">I18/(I12*9)</f>
        <v>21274.131274131276</v>
      </c>
    </row>
    <row r="63" spans="1:9" x14ac:dyDescent="0.25">
      <c r="A63" s="6" t="s">
        <v>33</v>
      </c>
      <c r="B63" s="4">
        <f t="shared" ref="B63:H63" si="35">(B61/B62)*B46</f>
        <v>521.63580314376895</v>
      </c>
      <c r="C63" s="18">
        <f t="shared" si="35"/>
        <v>472.18372539837986</v>
      </c>
      <c r="D63" s="4">
        <f t="shared" si="35"/>
        <v>385.05827918113533</v>
      </c>
      <c r="E63" s="4">
        <f t="shared" si="35"/>
        <v>400.17949512421836</v>
      </c>
      <c r="F63" s="4">
        <f t="shared" si="35"/>
        <v>180.85499201658473</v>
      </c>
      <c r="G63" s="4">
        <f t="shared" si="35"/>
        <v>191.93139008734087</v>
      </c>
      <c r="H63" s="4" t="e">
        <f t="shared" si="35"/>
        <v>#DIV/0!</v>
      </c>
      <c r="I63" s="4">
        <f t="shared" ref="I63" si="36">(I61/I62)*I46</f>
        <v>47.426930935633791</v>
      </c>
    </row>
    <row r="64" spans="1:9" x14ac:dyDescent="0.25">
      <c r="B64" s="1"/>
      <c r="C64" s="1"/>
      <c r="D64" s="1"/>
    </row>
    <row r="65" spans="1:9" x14ac:dyDescent="0.25">
      <c r="A65" s="6" t="s">
        <v>34</v>
      </c>
      <c r="B65" s="1"/>
      <c r="C65" s="1"/>
      <c r="D65" s="1"/>
    </row>
    <row r="66" spans="1:9" x14ac:dyDescent="0.25">
      <c r="A66" s="6" t="s">
        <v>35</v>
      </c>
      <c r="B66" s="4">
        <f>(B24/B23)*100</f>
        <v>82.876640945269045</v>
      </c>
      <c r="C66" s="4"/>
      <c r="D66" s="4"/>
      <c r="E66" s="4"/>
      <c r="F66" s="4"/>
    </row>
    <row r="67" spans="1:9" x14ac:dyDescent="0.25">
      <c r="A67" s="6" t="s">
        <v>36</v>
      </c>
      <c r="B67" s="4">
        <f>(B18/B24)*100</f>
        <v>83.53570229556</v>
      </c>
      <c r="C67" s="4"/>
      <c r="D67" s="4"/>
      <c r="E67" s="4"/>
      <c r="F67" s="4"/>
    </row>
    <row r="68" spans="1:9" ht="15.75" thickBot="1" x14ac:dyDescent="0.3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.75" thickTop="1" x14ac:dyDescent="0.25"/>
    <row r="70" spans="1:9" x14ac:dyDescent="0.25">
      <c r="A70" s="13" t="s">
        <v>63</v>
      </c>
    </row>
    <row r="71" spans="1:9" x14ac:dyDescent="0.25">
      <c r="A71" s="25" t="s">
        <v>116</v>
      </c>
    </row>
    <row r="72" spans="1:9" x14ac:dyDescent="0.25">
      <c r="A72" s="6" t="s">
        <v>117</v>
      </c>
      <c r="B72" s="14"/>
      <c r="C72" s="14"/>
    </row>
    <row r="76" spans="1:9" x14ac:dyDescent="0.25">
      <c r="A76" s="6" t="s">
        <v>110</v>
      </c>
    </row>
    <row r="77" spans="1:9" x14ac:dyDescent="0.25">
      <c r="A77" s="6" t="s">
        <v>111</v>
      </c>
    </row>
    <row r="78" spans="1:9" x14ac:dyDescent="0.25">
      <c r="A78" s="6" t="s">
        <v>118</v>
      </c>
    </row>
  </sheetData>
  <mergeCells count="4">
    <mergeCell ref="A2:G2"/>
    <mergeCell ref="A4:A5"/>
    <mergeCell ref="B4:B5"/>
    <mergeCell ref="C4:I4"/>
  </mergeCells>
  <hyperlinks>
    <hyperlink ref="I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tabSelected="1" topLeftCell="A67" zoomScale="90" zoomScaleNormal="90" workbookViewId="0">
      <selection activeCell="A78" sqref="A78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8" width="15" style="6" bestFit="1" customWidth="1"/>
    <col min="9" max="9" width="12.5703125" style="6" bestFit="1" customWidth="1"/>
    <col min="10" max="16384" width="11.42578125" style="6"/>
  </cols>
  <sheetData>
    <row r="2" spans="1:9" ht="15.75" x14ac:dyDescent="0.25">
      <c r="A2" s="30" t="s">
        <v>103</v>
      </c>
      <c r="B2" s="30"/>
      <c r="C2" s="30"/>
      <c r="D2" s="30"/>
      <c r="E2" s="30"/>
      <c r="F2" s="30"/>
      <c r="G2" s="30"/>
    </row>
    <row r="4" spans="1:9" x14ac:dyDescent="0.25">
      <c r="A4" s="26" t="s">
        <v>0</v>
      </c>
      <c r="B4" s="28" t="s">
        <v>1</v>
      </c>
      <c r="C4" s="31" t="s">
        <v>114</v>
      </c>
      <c r="D4" s="31"/>
      <c r="E4" s="31"/>
      <c r="F4" s="31"/>
      <c r="G4" s="31"/>
      <c r="H4" s="31"/>
      <c r="I4" s="31"/>
    </row>
    <row r="5" spans="1:9" ht="31.5" customHeight="1" thickBot="1" x14ac:dyDescent="0.3">
      <c r="A5" s="27"/>
      <c r="B5" s="29"/>
      <c r="C5" s="21" t="s">
        <v>62</v>
      </c>
      <c r="D5" s="23" t="s">
        <v>2</v>
      </c>
      <c r="E5" s="23" t="s">
        <v>3</v>
      </c>
      <c r="F5" s="24" t="s">
        <v>38</v>
      </c>
      <c r="G5" s="24" t="s">
        <v>37</v>
      </c>
      <c r="H5" s="24" t="s">
        <v>39</v>
      </c>
      <c r="I5" s="24" t="s">
        <v>112</v>
      </c>
    </row>
    <row r="6" spans="1:9" ht="15.75" thickTop="1" x14ac:dyDescent="0.25"/>
    <row r="7" spans="1:9" x14ac:dyDescent="0.25">
      <c r="A7" s="9" t="s">
        <v>4</v>
      </c>
    </row>
    <row r="9" spans="1:9" x14ac:dyDescent="0.25">
      <c r="A9" s="6" t="s">
        <v>5</v>
      </c>
    </row>
    <row r="10" spans="1:9" x14ac:dyDescent="0.25">
      <c r="A10" s="3" t="s">
        <v>56</v>
      </c>
      <c r="B10" s="2">
        <f>SUM(C10:I10)</f>
        <v>96280.916666666657</v>
      </c>
      <c r="C10" s="17">
        <f>AVERAGE('I Trimestre'!C10,'II Trimestre'!C10,'III Trimestre'!C10,'IV Trimestre'!C10)</f>
        <v>84468.583333333328</v>
      </c>
      <c r="D10" s="17">
        <f>AVERAGE('I Trimestre'!D10,'II Trimestre'!D10,'III Trimestre'!D10,'IV Trimestre'!D10)</f>
        <v>7635.75</v>
      </c>
      <c r="E10" s="17">
        <f>AVERAGE('I Trimestre'!E10,'II Trimestre'!E10,'III Trimestre'!E10,'IV Trimestre'!E10)</f>
        <v>2081.083333333333</v>
      </c>
      <c r="F10" s="17">
        <f>AVERAGE('I Trimestre'!F10,'II Trimestre'!F10,'III Trimestre'!F10,'IV Trimestre'!F10)</f>
        <v>1404.75</v>
      </c>
      <c r="G10" s="17">
        <f>AVERAGE('I Trimestre'!G10,'II Trimestre'!G10,'III Trimestre'!G10,'IV Trimestre'!G10)</f>
        <v>690.75</v>
      </c>
      <c r="H10" s="17">
        <f>AVERAGE('I Trimestre'!H10,'II Trimestre'!H10,'III Trimestre'!H10,'IV Trimestre'!H10)</f>
        <v>0</v>
      </c>
      <c r="I10" s="17" t="s">
        <v>61</v>
      </c>
    </row>
    <row r="11" spans="1:9" x14ac:dyDescent="0.25">
      <c r="A11" s="3" t="s">
        <v>104</v>
      </c>
      <c r="B11" s="2">
        <f t="shared" ref="B11:B13" si="0">SUM(C11:I11)</f>
        <v>106321.25</v>
      </c>
      <c r="C11" s="17">
        <f>AVERAGE('I Trimestre'!C11,'II Trimestre'!C11,'III Trimestre'!C11,'IV Trimestre'!C11)</f>
        <v>90377.75</v>
      </c>
      <c r="D11" s="17">
        <f>AVERAGE('I Trimestre'!D11,'II Trimestre'!D11,'III Trimestre'!D11,'IV Trimestre'!D11)</f>
        <v>8922</v>
      </c>
      <c r="E11" s="17">
        <f>AVERAGE('I Trimestre'!E11,'II Trimestre'!E11,'III Trimestre'!E11,'IV Trimestre'!E11)</f>
        <v>2300</v>
      </c>
      <c r="F11" s="17">
        <f>AVERAGE('I Trimestre'!F11,'II Trimestre'!F11,'III Trimestre'!F11,'IV Trimestre'!F11)</f>
        <v>2400</v>
      </c>
      <c r="G11" s="17">
        <f>AVERAGE('I Trimestre'!G11,'II Trimestre'!G11,'III Trimestre'!G11,'IV Trimestre'!G11)</f>
        <v>850</v>
      </c>
      <c r="H11" s="17">
        <f>AVERAGE('I Trimestre'!H11,'II Trimestre'!H11,'III Trimestre'!H11,'IV Trimestre'!H11)</f>
        <v>776.5</v>
      </c>
      <c r="I11" s="17">
        <f>AVERAGE('I Trimestre'!I11,'II Trimestre'!I11,'III Trimestre'!I11,'IV Trimestre'!I11)</f>
        <v>695</v>
      </c>
    </row>
    <row r="12" spans="1:9" x14ac:dyDescent="0.25">
      <c r="A12" s="3" t="s">
        <v>105</v>
      </c>
      <c r="B12" s="2">
        <f t="shared" si="0"/>
        <v>270655.75</v>
      </c>
      <c r="C12" s="17">
        <f>AVERAGE('I Trimestre'!C12,'II Trimestre'!C12,'III Trimestre'!C12,'IV Trimestre'!C12)</f>
        <v>239132.5</v>
      </c>
      <c r="D12" s="17">
        <f>AVERAGE('I Trimestre'!D12,'II Trimestre'!D12,'III Trimestre'!D12,'IV Trimestre'!D12)</f>
        <v>21084</v>
      </c>
      <c r="E12" s="17">
        <f>AVERAGE('I Trimestre'!E12,'II Trimestre'!E12,'III Trimestre'!E12,'IV Trimestre'!E12)</f>
        <v>5581.5</v>
      </c>
      <c r="F12" s="17">
        <f>AVERAGE('I Trimestre'!F12,'II Trimestre'!F12,'III Trimestre'!F12,'IV Trimestre'!F12)</f>
        <v>3653</v>
      </c>
      <c r="G12" s="17">
        <f>AVERAGE('I Trimestre'!G12,'II Trimestre'!G12,'III Trimestre'!G12,'IV Trimestre'!G12)</f>
        <v>1028.25</v>
      </c>
      <c r="H12" s="17">
        <f>AVERAGE('I Trimestre'!H12,'II Trimestre'!H12,'III Trimestre'!H12,'IV Trimestre'!H12)</f>
        <v>0</v>
      </c>
      <c r="I12" s="17">
        <f>AVERAGE('I Trimestre'!I12,'II Trimestre'!I12,'III Trimestre'!I12,'IV Trimestre'!I12)</f>
        <v>176.5</v>
      </c>
    </row>
    <row r="13" spans="1:9" x14ac:dyDescent="0.25">
      <c r="A13" s="3" t="s">
        <v>69</v>
      </c>
      <c r="B13" s="2">
        <f t="shared" si="0"/>
        <v>107773</v>
      </c>
      <c r="C13" s="17">
        <f>'IV Trimestre'!C13</f>
        <v>92339</v>
      </c>
      <c r="D13" s="17">
        <f>'IV Trimestre'!D13</f>
        <v>8922</v>
      </c>
      <c r="E13" s="17">
        <f>'IV Trimestre'!E13</f>
        <v>2300</v>
      </c>
      <c r="F13" s="17">
        <f>'IV Trimestre'!F13</f>
        <v>2400</v>
      </c>
      <c r="G13" s="17">
        <f>'IV Trimestre'!G13</f>
        <v>850</v>
      </c>
      <c r="H13" s="17">
        <f>'IV Trimestre'!H13</f>
        <v>267</v>
      </c>
      <c r="I13" s="17">
        <f>'IV Trimestre'!I13</f>
        <v>695</v>
      </c>
    </row>
    <row r="14" spans="1:9" x14ac:dyDescent="0.25">
      <c r="C14" s="10"/>
    </row>
    <row r="15" spans="1:9" x14ac:dyDescent="0.25">
      <c r="A15" s="5" t="s">
        <v>7</v>
      </c>
    </row>
    <row r="16" spans="1:9" x14ac:dyDescent="0.25">
      <c r="A16" s="3" t="s">
        <v>56</v>
      </c>
      <c r="B16" s="2">
        <f>SUM(C16:I16)</f>
        <v>15379240940.560001</v>
      </c>
      <c r="C16" s="17">
        <f>'I Trimestre'!C16+'II Trimestre'!C16+'III Trimestre'!C16+'IV Trimestre'!C16</f>
        <v>11149853000</v>
      </c>
      <c r="D16" s="17">
        <f>'I Trimestre'!D16+'II Trimestre'!D16+'III Trimestre'!D16+'IV Trimestre'!D16</f>
        <v>1557693000</v>
      </c>
      <c r="E16" s="17">
        <f>'I Trimestre'!E16+'II Trimestre'!E16+'III Trimestre'!E16+'IV Trimestre'!E16</f>
        <v>998920000</v>
      </c>
      <c r="F16" s="17">
        <f>'I Trimestre'!F16+'II Trimestre'!F16+'III Trimestre'!F16+'IV Trimestre'!F16</f>
        <v>1175434940.5600011</v>
      </c>
      <c r="G16" s="17">
        <f>'I Trimestre'!G16+'II Trimestre'!G16+'III Trimestre'!G16+'IV Trimestre'!G16</f>
        <v>497340000</v>
      </c>
      <c r="H16" s="17">
        <f>'I Trimestre'!H16+'II Trimestre'!H16+'III Trimestre'!H16+'IV Trimestre'!H16</f>
        <v>0</v>
      </c>
      <c r="I16" s="17">
        <f>'I Trimestre'!I16+'II Trimestre'!I16+'III Trimestre'!I16+'IV Trimestre'!I16</f>
        <v>0</v>
      </c>
    </row>
    <row r="17" spans="1:9" x14ac:dyDescent="0.25">
      <c r="A17" s="3" t="s">
        <v>104</v>
      </c>
      <c r="B17" s="2">
        <f t="shared" ref="B17:B20" si="1">SUM(C17:I17)</f>
        <v>20722636250</v>
      </c>
      <c r="C17" s="17">
        <f>'I Trimestre'!C17+'II Trimestre'!C17+'III Trimestre'!C17+'IV Trimestre'!C17</f>
        <v>11670846000</v>
      </c>
      <c r="D17" s="17">
        <f>'I Trimestre'!D17+'II Trimestre'!D17+'III Trimestre'!D17+'IV Trimestre'!D17</f>
        <v>1819969000</v>
      </c>
      <c r="E17" s="17">
        <f>'I Trimestre'!E17+'II Trimestre'!E17+'III Trimestre'!E17+'IV Trimestre'!E17</f>
        <v>1104000000</v>
      </c>
      <c r="F17" s="17">
        <f>'I Trimestre'!F17+'II Trimestre'!F17+'III Trimestre'!F17+'IV Trimestre'!F17</f>
        <v>2016000000</v>
      </c>
      <c r="G17" s="17">
        <f>'I Trimestre'!G17+'II Trimestre'!G17+'III Trimestre'!G17+'IV Trimestre'!G17</f>
        <v>612000000</v>
      </c>
      <c r="H17" s="17">
        <f>'I Trimestre'!H17+'II Trimestre'!H17+'III Trimestre'!H17+'IV Trimestre'!H17</f>
        <v>2999841250</v>
      </c>
      <c r="I17" s="17">
        <f>'I Trimestre'!I17+'II Trimestre'!I17+'III Trimestre'!I17+'IV Trimestre'!I17</f>
        <v>499980000</v>
      </c>
    </row>
    <row r="18" spans="1:9" x14ac:dyDescent="0.25">
      <c r="A18" s="3" t="s">
        <v>105</v>
      </c>
      <c r="B18" s="2">
        <f t="shared" si="1"/>
        <v>15462212000</v>
      </c>
      <c r="C18" s="17">
        <f>'I Trimestre'!C18+'II Trimestre'!C18+'III Trimestre'!C18+'IV Trimestre'!C18</f>
        <v>10913265000</v>
      </c>
      <c r="D18" s="17">
        <f>'I Trimestre'!D18+'II Trimestre'!D18+'III Trimestre'!D18+'IV Trimestre'!D18</f>
        <v>1584400000</v>
      </c>
      <c r="E18" s="17">
        <f>'I Trimestre'!E18+'II Trimestre'!E18+'III Trimestre'!E18+'IV Trimestre'!E18</f>
        <v>984080000</v>
      </c>
      <c r="F18" s="17">
        <f>'I Trimestre'!F18+'II Trimestre'!F18+'III Trimestre'!F18+'IV Trimestre'!F18</f>
        <v>1653107000</v>
      </c>
      <c r="G18" s="17">
        <f>'I Trimestre'!G18+'II Trimestre'!G18+'III Trimestre'!G18+'IV Trimestre'!G18</f>
        <v>282960000</v>
      </c>
      <c r="H18" s="17">
        <f>'I Trimestre'!H18+'II Trimestre'!H18+'III Trimestre'!H18+'IV Trimestre'!H18</f>
        <v>0</v>
      </c>
      <c r="I18" s="17">
        <f>'I Trimestre'!I18+'II Trimestre'!I18+'III Trimestre'!I18+'IV Trimestre'!I18</f>
        <v>44400000</v>
      </c>
    </row>
    <row r="19" spans="1:9" x14ac:dyDescent="0.25">
      <c r="A19" s="3" t="s">
        <v>69</v>
      </c>
      <c r="B19" s="2">
        <f t="shared" si="1"/>
        <v>20722636250</v>
      </c>
      <c r="C19" s="17">
        <f>287100000+595980000+10191643000+596123000</f>
        <v>11670846000</v>
      </c>
      <c r="D19" s="17">
        <f>1224000000+595969000</f>
        <v>1819969000</v>
      </c>
      <c r="E19" s="17">
        <v>1104000000</v>
      </c>
      <c r="F19" s="17">
        <v>2016000000</v>
      </c>
      <c r="G19" s="17">
        <v>612000000</v>
      </c>
      <c r="H19" s="17">
        <v>2999841250</v>
      </c>
      <c r="I19" s="17">
        <v>499980000</v>
      </c>
    </row>
    <row r="20" spans="1:9" x14ac:dyDescent="0.25">
      <c r="A20" s="3" t="s">
        <v>106</v>
      </c>
      <c r="B20" s="2">
        <f t="shared" si="1"/>
        <v>15462212000</v>
      </c>
      <c r="C20" s="17">
        <f>C18</f>
        <v>10913265000</v>
      </c>
      <c r="D20" s="17">
        <f t="shared" ref="D20:I20" si="2">D18</f>
        <v>1584400000</v>
      </c>
      <c r="E20" s="17">
        <f t="shared" si="2"/>
        <v>984080000</v>
      </c>
      <c r="F20" s="17">
        <f t="shared" si="2"/>
        <v>1653107000</v>
      </c>
      <c r="G20" s="17">
        <f t="shared" si="2"/>
        <v>282960000</v>
      </c>
      <c r="H20" s="17">
        <f t="shared" si="2"/>
        <v>0</v>
      </c>
      <c r="I20" s="17">
        <f t="shared" si="2"/>
        <v>44400000</v>
      </c>
    </row>
    <row r="21" spans="1:9" x14ac:dyDescent="0.25">
      <c r="B21" s="2"/>
      <c r="C21" s="2"/>
      <c r="D21" s="2"/>
      <c r="E21" s="2"/>
      <c r="F21" s="2"/>
      <c r="G21" s="2"/>
      <c r="H21" s="2"/>
    </row>
    <row r="22" spans="1:9" x14ac:dyDescent="0.25">
      <c r="A22" s="5" t="s">
        <v>8</v>
      </c>
      <c r="B22" s="2"/>
      <c r="C22" s="2"/>
      <c r="D22" s="2"/>
      <c r="E22" s="2"/>
      <c r="F22" s="2"/>
      <c r="G22" s="2"/>
      <c r="H22" s="2"/>
    </row>
    <row r="23" spans="1:9" x14ac:dyDescent="0.25">
      <c r="A23" s="3" t="s">
        <v>104</v>
      </c>
      <c r="B23" s="2">
        <f>B17</f>
        <v>20722636250</v>
      </c>
      <c r="C23" s="2"/>
      <c r="D23" s="2"/>
      <c r="E23" s="2"/>
      <c r="F23" s="2"/>
      <c r="G23" s="2"/>
      <c r="H23" s="2"/>
    </row>
    <row r="24" spans="1:9" x14ac:dyDescent="0.25">
      <c r="A24" s="3" t="s">
        <v>105</v>
      </c>
      <c r="B24" s="2">
        <f>+'I Trimestre'!B24+'II Trimestre'!B24+'III Trimestre'!B24+'IV Trimestre'!B24</f>
        <v>16676505442.139999</v>
      </c>
      <c r="C24" s="2"/>
      <c r="D24" s="2"/>
      <c r="E24" s="2"/>
      <c r="F24" s="2"/>
      <c r="G24" s="2"/>
      <c r="H24" s="2"/>
    </row>
    <row r="26" spans="1:9" x14ac:dyDescent="0.25">
      <c r="A26" s="6" t="s">
        <v>9</v>
      </c>
    </row>
    <row r="27" spans="1:9" x14ac:dyDescent="0.25">
      <c r="A27" s="6" t="s">
        <v>57</v>
      </c>
      <c r="B27" s="10">
        <v>1.4683304717083334</v>
      </c>
      <c r="C27" s="10">
        <v>1.4683304717083334</v>
      </c>
      <c r="D27" s="10">
        <v>1.4683304717083334</v>
      </c>
      <c r="E27" s="10">
        <v>1.4683304717083334</v>
      </c>
      <c r="F27" s="10">
        <v>1.4683304717083334</v>
      </c>
      <c r="G27" s="10">
        <v>1.4683304717083334</v>
      </c>
      <c r="H27" s="10">
        <v>1.4683304717083334</v>
      </c>
      <c r="I27" s="10">
        <v>1.4683304717083334</v>
      </c>
    </row>
    <row r="28" spans="1:9" x14ac:dyDescent="0.25">
      <c r="A28" s="6" t="s">
        <v>107</v>
      </c>
      <c r="B28" s="6">
        <v>1.53</v>
      </c>
      <c r="C28" s="6">
        <v>1.53</v>
      </c>
      <c r="D28" s="6">
        <v>1.53</v>
      </c>
      <c r="E28" s="6">
        <v>1.53</v>
      </c>
      <c r="F28" s="6">
        <v>1.53</v>
      </c>
      <c r="G28" s="6">
        <v>1.53</v>
      </c>
      <c r="H28" s="6">
        <v>1.53</v>
      </c>
      <c r="I28" s="6">
        <v>1.53</v>
      </c>
    </row>
    <row r="29" spans="1:9" x14ac:dyDescent="0.25">
      <c r="A29" s="3" t="s">
        <v>11</v>
      </c>
      <c r="B29" s="17">
        <f>SUM(C29:I29)</f>
        <v>259781</v>
      </c>
      <c r="C29" s="19">
        <v>223258</v>
      </c>
      <c r="D29" s="17">
        <v>8954</v>
      </c>
      <c r="E29" s="15">
        <v>8954</v>
      </c>
      <c r="F29" s="17">
        <v>18615</v>
      </c>
      <c r="G29" s="17" t="s">
        <v>60</v>
      </c>
      <c r="H29" s="6" t="s">
        <v>60</v>
      </c>
      <c r="I29" s="6" t="s">
        <v>60</v>
      </c>
    </row>
    <row r="31" spans="1:9" x14ac:dyDescent="0.25">
      <c r="A31" s="6" t="s">
        <v>12</v>
      </c>
    </row>
    <row r="32" spans="1:9" x14ac:dyDescent="0.25">
      <c r="A32" s="6" t="s">
        <v>58</v>
      </c>
      <c r="B32" s="2">
        <f t="shared" ref="B32:H32" si="3">B16/B27</f>
        <v>10473964299.512888</v>
      </c>
      <c r="C32" s="17">
        <f t="shared" si="3"/>
        <v>7593558272.3606291</v>
      </c>
      <c r="D32" s="2">
        <f t="shared" si="3"/>
        <v>1060859956.2656338</v>
      </c>
      <c r="E32" s="2">
        <f t="shared" si="3"/>
        <v>680310065.91983593</v>
      </c>
      <c r="F32" s="2">
        <f t="shared" si="3"/>
        <v>800524788.66861486</v>
      </c>
      <c r="G32" s="2">
        <f t="shared" si="3"/>
        <v>338711216.29817319</v>
      </c>
      <c r="H32" s="2">
        <f t="shared" si="3"/>
        <v>0</v>
      </c>
      <c r="I32" s="2">
        <f t="shared" ref="I32" si="4">I16/I27</f>
        <v>0</v>
      </c>
    </row>
    <row r="33" spans="1:9" x14ac:dyDescent="0.25">
      <c r="A33" s="6" t="s">
        <v>108</v>
      </c>
      <c r="B33" s="2">
        <f t="shared" ref="B33:H33" si="5">B18/B28</f>
        <v>10106020915.032681</v>
      </c>
      <c r="C33" s="17">
        <f t="shared" si="5"/>
        <v>7132852941.1764708</v>
      </c>
      <c r="D33" s="2">
        <f t="shared" si="5"/>
        <v>1035555555.5555556</v>
      </c>
      <c r="E33" s="2">
        <f t="shared" si="5"/>
        <v>643189542.4836601</v>
      </c>
      <c r="F33" s="2">
        <f t="shared" si="5"/>
        <v>1080462091.503268</v>
      </c>
      <c r="G33" s="2">
        <f t="shared" si="5"/>
        <v>184941176.47058824</v>
      </c>
      <c r="H33" s="2">
        <f t="shared" si="5"/>
        <v>0</v>
      </c>
      <c r="I33" s="2">
        <f t="shared" ref="I33" si="6">I18/I28</f>
        <v>29019607.843137253</v>
      </c>
    </row>
    <row r="34" spans="1:9" x14ac:dyDescent="0.25">
      <c r="A34" s="6" t="s">
        <v>59</v>
      </c>
      <c r="B34" s="2">
        <f t="shared" ref="B34:H34" si="7">B32/B10</f>
        <v>108785.46509662668</v>
      </c>
      <c r="C34" s="17">
        <f t="shared" si="7"/>
        <v>89898.01856146472</v>
      </c>
      <c r="D34" s="2">
        <f t="shared" si="7"/>
        <v>138933.30141317274</v>
      </c>
      <c r="E34" s="2">
        <f t="shared" si="7"/>
        <v>326901.8856780536</v>
      </c>
      <c r="F34" s="2">
        <f t="shared" si="7"/>
        <v>569869.9332042106</v>
      </c>
      <c r="G34" s="2">
        <f t="shared" si="7"/>
        <v>490352.82851708028</v>
      </c>
      <c r="H34" s="2" t="e">
        <f t="shared" si="7"/>
        <v>#DIV/0!</v>
      </c>
      <c r="I34" s="2" t="e">
        <f t="shared" ref="I34" si="8">I32/I10</f>
        <v>#VALUE!</v>
      </c>
    </row>
    <row r="35" spans="1:9" x14ac:dyDescent="0.25">
      <c r="A35" s="6" t="s">
        <v>109</v>
      </c>
      <c r="B35" s="2">
        <f t="shared" ref="B35:H35" si="9">B33/B12</f>
        <v>37339.021672484996</v>
      </c>
      <c r="C35" s="17">
        <f t="shared" si="9"/>
        <v>29828.036511877184</v>
      </c>
      <c r="D35" s="2">
        <f t="shared" si="9"/>
        <v>49115.706486224415</v>
      </c>
      <c r="E35" s="2">
        <f t="shared" si="9"/>
        <v>115235.96568729913</v>
      </c>
      <c r="F35" s="2">
        <f t="shared" si="9"/>
        <v>295773.90952731128</v>
      </c>
      <c r="G35" s="2">
        <f t="shared" si="9"/>
        <v>179860.12785858326</v>
      </c>
      <c r="H35" s="2" t="e">
        <f t="shared" si="9"/>
        <v>#DIV/0!</v>
      </c>
      <c r="I35" s="2">
        <f t="shared" ref="I35" si="10">I33/I12</f>
        <v>164417.04160417707</v>
      </c>
    </row>
    <row r="37" spans="1:9" x14ac:dyDescent="0.25">
      <c r="A37" s="9" t="s">
        <v>15</v>
      </c>
    </row>
    <row r="39" spans="1:9" x14ac:dyDescent="0.25">
      <c r="A39" s="6" t="s">
        <v>16</v>
      </c>
    </row>
    <row r="40" spans="1:9" x14ac:dyDescent="0.25">
      <c r="A40" s="6" t="s">
        <v>17</v>
      </c>
      <c r="B40" s="18">
        <f>(B11/B29)*100</f>
        <v>40.927261808985257</v>
      </c>
      <c r="C40" s="18">
        <f>(C11/C29)*100</f>
        <v>40.481304141396954</v>
      </c>
      <c r="D40" s="18">
        <f t="shared" ref="D40:F40" si="11">(D11/D29)*100</f>
        <v>99.642617824436002</v>
      </c>
      <c r="E40" s="18">
        <f t="shared" si="11"/>
        <v>25.686843868662052</v>
      </c>
      <c r="F40" s="18">
        <f t="shared" si="11"/>
        <v>12.8928283642224</v>
      </c>
      <c r="G40" s="17" t="s">
        <v>60</v>
      </c>
      <c r="H40" s="17" t="s">
        <v>60</v>
      </c>
      <c r="I40" s="17" t="s">
        <v>60</v>
      </c>
    </row>
    <row r="41" spans="1:9" x14ac:dyDescent="0.25">
      <c r="A41" s="6" t="s">
        <v>18</v>
      </c>
      <c r="B41" s="18">
        <f>(B12/B29)*100</f>
        <v>104.18612215673973</v>
      </c>
      <c r="C41" s="18">
        <f>(C12/C29)*100</f>
        <v>107.11038350249487</v>
      </c>
      <c r="D41" s="18">
        <f t="shared" ref="D41:F41" si="12">(D12/D29)*100</f>
        <v>235.47018092472638</v>
      </c>
      <c r="E41" s="18">
        <f t="shared" si="12"/>
        <v>62.335269153450966</v>
      </c>
      <c r="F41" s="18">
        <f t="shared" si="12"/>
        <v>19.62395917271018</v>
      </c>
      <c r="G41" s="17" t="s">
        <v>60</v>
      </c>
      <c r="H41" s="17" t="s">
        <v>60</v>
      </c>
      <c r="I41" s="17" t="s">
        <v>60</v>
      </c>
    </row>
    <row r="43" spans="1:9" x14ac:dyDescent="0.25">
      <c r="A43" s="6" t="s">
        <v>19</v>
      </c>
    </row>
    <row r="44" spans="1:9" x14ac:dyDescent="0.25">
      <c r="A44" s="6" t="s">
        <v>20</v>
      </c>
      <c r="B44" s="4">
        <f t="shared" ref="B44:H44" si="13">B12/B11*100</f>
        <v>254.56411582820931</v>
      </c>
      <c r="C44" s="18">
        <f t="shared" si="13"/>
        <v>264.59222540946195</v>
      </c>
      <c r="D44" s="4">
        <f t="shared" si="13"/>
        <v>236.3147276395427</v>
      </c>
      <c r="E44" s="4">
        <f t="shared" si="13"/>
        <v>242.67391304347825</v>
      </c>
      <c r="F44" s="4">
        <f t="shared" si="13"/>
        <v>152.20833333333331</v>
      </c>
      <c r="G44" s="4">
        <f t="shared" si="13"/>
        <v>120.97058823529412</v>
      </c>
      <c r="H44" s="4">
        <f t="shared" si="13"/>
        <v>0</v>
      </c>
      <c r="I44" s="4">
        <f t="shared" ref="I44" si="14">I12/I11*100</f>
        <v>25.39568345323741</v>
      </c>
    </row>
    <row r="45" spans="1:9" x14ac:dyDescent="0.25">
      <c r="A45" s="6" t="s">
        <v>21</v>
      </c>
      <c r="B45" s="4">
        <f t="shared" ref="B45:H45" si="15">B18/B17*100</f>
        <v>74.615081852821703</v>
      </c>
      <c r="C45" s="18">
        <f t="shared" si="15"/>
        <v>93.508773914076144</v>
      </c>
      <c r="D45" s="4">
        <f t="shared" si="15"/>
        <v>87.056427884211217</v>
      </c>
      <c r="E45" s="4">
        <f t="shared" si="15"/>
        <v>89.137681159420296</v>
      </c>
      <c r="F45" s="4">
        <f t="shared" si="15"/>
        <v>81.999355158730154</v>
      </c>
      <c r="G45" s="4">
        <f t="shared" si="15"/>
        <v>46.235294117647058</v>
      </c>
      <c r="H45" s="4">
        <f t="shared" si="15"/>
        <v>0</v>
      </c>
      <c r="I45" s="4">
        <f t="shared" ref="I45" si="16">I18/I17*100</f>
        <v>8.8803552142085689</v>
      </c>
    </row>
    <row r="46" spans="1:9" x14ac:dyDescent="0.25">
      <c r="A46" s="6" t="s">
        <v>22</v>
      </c>
      <c r="B46" s="4">
        <f t="shared" ref="B46:H46" si="17">AVERAGE(B44:B45)</f>
        <v>164.58959884051552</v>
      </c>
      <c r="C46" s="18">
        <f t="shared" si="17"/>
        <v>179.05049966176904</v>
      </c>
      <c r="D46" s="4">
        <f t="shared" si="17"/>
        <v>161.68557776187697</v>
      </c>
      <c r="E46" s="4">
        <f t="shared" si="17"/>
        <v>165.90579710144928</v>
      </c>
      <c r="F46" s="4">
        <f t="shared" si="17"/>
        <v>117.10384424603174</v>
      </c>
      <c r="G46" s="4">
        <f t="shared" si="17"/>
        <v>83.60294117647058</v>
      </c>
      <c r="H46" s="4">
        <f t="shared" si="17"/>
        <v>0</v>
      </c>
      <c r="I46" s="4">
        <f t="shared" ref="I46" si="18">AVERAGE(I44:I45)</f>
        <v>17.13801933372299</v>
      </c>
    </row>
    <row r="47" spans="1:9" x14ac:dyDescent="0.25">
      <c r="B47" s="1"/>
      <c r="C47" s="1"/>
      <c r="D47" s="1"/>
    </row>
    <row r="48" spans="1:9" x14ac:dyDescent="0.25">
      <c r="A48" s="6" t="s">
        <v>23</v>
      </c>
    </row>
    <row r="49" spans="1:9" x14ac:dyDescent="0.25">
      <c r="A49" s="6" t="s">
        <v>24</v>
      </c>
      <c r="B49" s="4">
        <f t="shared" ref="B49:H49" si="19">B12/B13*100</f>
        <v>251.13502454232508</v>
      </c>
      <c r="C49" s="18">
        <f t="shared" si="19"/>
        <v>258.97237353664218</v>
      </c>
      <c r="D49" s="4">
        <f t="shared" si="19"/>
        <v>236.3147276395427</v>
      </c>
      <c r="E49" s="4">
        <f t="shared" si="19"/>
        <v>242.67391304347825</v>
      </c>
      <c r="F49" s="4">
        <f t="shared" si="19"/>
        <v>152.20833333333331</v>
      </c>
      <c r="G49" s="4">
        <f t="shared" si="19"/>
        <v>120.97058823529412</v>
      </c>
      <c r="H49" s="4">
        <f t="shared" si="19"/>
        <v>0</v>
      </c>
      <c r="I49" s="4">
        <f t="shared" ref="I49" si="20">I12/I13*100</f>
        <v>25.39568345323741</v>
      </c>
    </row>
    <row r="50" spans="1:9" x14ac:dyDescent="0.25">
      <c r="A50" s="6" t="s">
        <v>25</v>
      </c>
      <c r="B50" s="4">
        <f t="shared" ref="B50:H50" si="21">B18/B19*100</f>
        <v>74.615081852821703</v>
      </c>
      <c r="C50" s="18">
        <f t="shared" si="21"/>
        <v>93.508773914076144</v>
      </c>
      <c r="D50" s="4">
        <f t="shared" si="21"/>
        <v>87.056427884211217</v>
      </c>
      <c r="E50" s="4">
        <f t="shared" si="21"/>
        <v>89.137681159420296</v>
      </c>
      <c r="F50" s="4">
        <f t="shared" si="21"/>
        <v>81.999355158730154</v>
      </c>
      <c r="G50" s="4">
        <f t="shared" si="21"/>
        <v>46.235294117647058</v>
      </c>
      <c r="H50" s="4">
        <f t="shared" si="21"/>
        <v>0</v>
      </c>
      <c r="I50" s="4">
        <f t="shared" ref="I50" si="22">I18/I19*100</f>
        <v>8.8803552142085689</v>
      </c>
    </row>
    <row r="51" spans="1:9" x14ac:dyDescent="0.25">
      <c r="A51" s="6" t="s">
        <v>26</v>
      </c>
      <c r="B51" s="4">
        <f t="shared" ref="B51:H51" si="23">(B49+B50)/2</f>
        <v>162.87505319757338</v>
      </c>
      <c r="C51" s="18">
        <f t="shared" si="23"/>
        <v>176.24057372535916</v>
      </c>
      <c r="D51" s="4">
        <f t="shared" si="23"/>
        <v>161.68557776187697</v>
      </c>
      <c r="E51" s="4">
        <f t="shared" si="23"/>
        <v>165.90579710144928</v>
      </c>
      <c r="F51" s="4">
        <f t="shared" si="23"/>
        <v>117.10384424603174</v>
      </c>
      <c r="G51" s="4">
        <f t="shared" si="23"/>
        <v>83.60294117647058</v>
      </c>
      <c r="H51" s="4">
        <f t="shared" si="23"/>
        <v>0</v>
      </c>
      <c r="I51" s="4">
        <f t="shared" ref="I51" si="24">(I49+I50)/2</f>
        <v>17.13801933372299</v>
      </c>
    </row>
    <row r="53" spans="1:9" x14ac:dyDescent="0.25">
      <c r="A53" s="6" t="s">
        <v>27</v>
      </c>
      <c r="B53" s="4">
        <f>B20/B18*100</f>
        <v>100</v>
      </c>
      <c r="C53" s="18">
        <f>C20/C18*100</f>
        <v>100</v>
      </c>
      <c r="D53" s="4">
        <f>D20/D18*100</f>
        <v>100</v>
      </c>
      <c r="E53" s="4">
        <f>E20/E18*100</f>
        <v>100</v>
      </c>
      <c r="F53" s="11" t="s">
        <v>61</v>
      </c>
    </row>
    <row r="55" spans="1:9" x14ac:dyDescent="0.25">
      <c r="A55" s="6" t="s">
        <v>28</v>
      </c>
    </row>
    <row r="56" spans="1:9" x14ac:dyDescent="0.25">
      <c r="A56" s="6" t="s">
        <v>29</v>
      </c>
      <c r="B56" s="4">
        <f t="shared" ref="B56:H56" si="25">((B12/B10)-1)*100</f>
        <v>181.11048312619934</v>
      </c>
      <c r="C56" s="18">
        <f t="shared" si="25"/>
        <v>183.10229740248593</v>
      </c>
      <c r="D56" s="4">
        <f t="shared" si="25"/>
        <v>176.12218839013849</v>
      </c>
      <c r="E56" s="4">
        <f t="shared" si="25"/>
        <v>168.20165779041369</v>
      </c>
      <c r="F56" s="4">
        <f t="shared" si="25"/>
        <v>160.04627157857269</v>
      </c>
      <c r="G56" s="4">
        <f t="shared" si="25"/>
        <v>48.859934853420192</v>
      </c>
      <c r="H56" s="4" t="e">
        <f t="shared" si="25"/>
        <v>#DIV/0!</v>
      </c>
      <c r="I56" s="4" t="e">
        <f t="shared" ref="I56" si="26">((I12/I10)-1)*100</f>
        <v>#VALUE!</v>
      </c>
    </row>
    <row r="57" spans="1:9" x14ac:dyDescent="0.25">
      <c r="A57" s="6" t="s">
        <v>30</v>
      </c>
      <c r="B57" s="4">
        <f t="shared" ref="B57:H57" si="27">((B33/B32)-1)*100</f>
        <v>-3.5129333455654388</v>
      </c>
      <c r="C57" s="18">
        <f t="shared" si="27"/>
        <v>-6.0670546621213628</v>
      </c>
      <c r="D57" s="4">
        <f t="shared" si="27"/>
        <v>-2.3852724914938839</v>
      </c>
      <c r="E57" s="4">
        <f t="shared" si="27"/>
        <v>-5.4564124942037662</v>
      </c>
      <c r="F57" s="4">
        <f t="shared" si="27"/>
        <v>34.969223539002229</v>
      </c>
      <c r="G57" s="4">
        <f t="shared" si="27"/>
        <v>-45.398567401505417</v>
      </c>
      <c r="H57" s="4" t="e">
        <f t="shared" si="27"/>
        <v>#DIV/0!</v>
      </c>
      <c r="I57" s="4" t="e">
        <f t="shared" ref="I57" si="28">((I33/I32)-1)*100</f>
        <v>#DIV/0!</v>
      </c>
    </row>
    <row r="58" spans="1:9" x14ac:dyDescent="0.25">
      <c r="A58" s="6" t="s">
        <v>31</v>
      </c>
      <c r="B58" s="4">
        <f t="shared" ref="B58:H58" si="29">((B35/B34)-1)*100</f>
        <v>-65.676460877085646</v>
      </c>
      <c r="C58" s="18">
        <f t="shared" si="29"/>
        <v>-66.820140210895445</v>
      </c>
      <c r="D58" s="4">
        <f t="shared" si="29"/>
        <v>-64.64799584646768</v>
      </c>
      <c r="E58" s="4">
        <f t="shared" si="29"/>
        <v>-64.749066696792241</v>
      </c>
      <c r="F58" s="4">
        <f t="shared" si="29"/>
        <v>-48.097997052720117</v>
      </c>
      <c r="G58" s="4">
        <f t="shared" si="29"/>
        <v>-63.320263002761848</v>
      </c>
      <c r="H58" s="4" t="e">
        <f t="shared" si="29"/>
        <v>#DIV/0!</v>
      </c>
      <c r="I58" s="4" t="e">
        <f t="shared" ref="I58" si="30">((I35/I34)-1)*100</f>
        <v>#VALUE!</v>
      </c>
    </row>
    <row r="59" spans="1:9" x14ac:dyDescent="0.25">
      <c r="B59" s="1"/>
      <c r="C59" s="1"/>
      <c r="D59" s="1"/>
    </row>
    <row r="60" spans="1:9" x14ac:dyDescent="0.25">
      <c r="A60" s="6" t="s">
        <v>32</v>
      </c>
    </row>
    <row r="61" spans="1:9" x14ac:dyDescent="0.25">
      <c r="A61" s="6" t="s">
        <v>64</v>
      </c>
      <c r="B61" s="4">
        <f>B17/(B11*12)</f>
        <v>16242.156240325116</v>
      </c>
      <c r="C61" s="18">
        <f t="shared" ref="C61:H61" si="31">C17/(C11*12)</f>
        <v>10761.171859224201</v>
      </c>
      <c r="D61" s="4">
        <f t="shared" si="31"/>
        <v>16998.888515280581</v>
      </c>
      <c r="E61" s="4">
        <f t="shared" si="31"/>
        <v>40000</v>
      </c>
      <c r="F61" s="4">
        <f t="shared" si="31"/>
        <v>70000</v>
      </c>
      <c r="G61" s="4">
        <f t="shared" si="31"/>
        <v>60000</v>
      </c>
      <c r="H61" s="4">
        <f t="shared" si="31"/>
        <v>321940.46469199401</v>
      </c>
      <c r="I61" s="4">
        <f t="shared" ref="I61" si="32">I17/(I11*12)</f>
        <v>59949.640287769784</v>
      </c>
    </row>
    <row r="62" spans="1:9" x14ac:dyDescent="0.25">
      <c r="A62" s="6" t="s">
        <v>65</v>
      </c>
      <c r="B62" s="4">
        <f>B18/(B12*12)</f>
        <v>4760.7252632418367</v>
      </c>
      <c r="C62" s="18">
        <f t="shared" ref="C62:H62" si="33">C18/(C12*12)</f>
        <v>3803.0746552643409</v>
      </c>
      <c r="D62" s="4">
        <f t="shared" si="33"/>
        <v>6262.2525769936128</v>
      </c>
      <c r="E62" s="4">
        <f t="shared" si="33"/>
        <v>14692.58562513064</v>
      </c>
      <c r="F62" s="4">
        <f t="shared" si="33"/>
        <v>37711.173464732186</v>
      </c>
      <c r="G62" s="4">
        <f t="shared" si="33"/>
        <v>22932.166301969366</v>
      </c>
      <c r="H62" s="4" t="e">
        <f t="shared" si="33"/>
        <v>#DIV/0!</v>
      </c>
      <c r="I62" s="4">
        <f t="shared" ref="I62" si="34">I18/(I12*12)</f>
        <v>20963.172804532576</v>
      </c>
    </row>
    <row r="63" spans="1:9" x14ac:dyDescent="0.25">
      <c r="A63" s="6" t="s">
        <v>33</v>
      </c>
      <c r="B63" s="4">
        <f t="shared" ref="B63:H63" si="35">(B61/B62)*B46</f>
        <v>561.52998379068367</v>
      </c>
      <c r="C63" s="18">
        <f t="shared" si="35"/>
        <v>506.64090847470771</v>
      </c>
      <c r="D63" s="4">
        <f t="shared" si="35"/>
        <v>438.89560140072882</v>
      </c>
      <c r="E63" s="4">
        <f t="shared" si="35"/>
        <v>451.67215991630235</v>
      </c>
      <c r="F63" s="4">
        <f t="shared" si="35"/>
        <v>217.36976986113621</v>
      </c>
      <c r="G63" s="4">
        <f t="shared" si="35"/>
        <v>218.73975639874266</v>
      </c>
      <c r="H63" s="4" t="e">
        <f t="shared" si="35"/>
        <v>#DIV/0!</v>
      </c>
      <c r="I63" s="4">
        <f t="shared" ref="I63" si="36">(I61/I62)*I46</f>
        <v>49.010619903843605</v>
      </c>
    </row>
    <row r="64" spans="1:9" x14ac:dyDescent="0.25">
      <c r="B64" s="1"/>
      <c r="C64" s="1"/>
      <c r="D64" s="1"/>
    </row>
    <row r="65" spans="1:9" x14ac:dyDescent="0.25">
      <c r="A65" s="6" t="s">
        <v>34</v>
      </c>
      <c r="B65" s="1"/>
      <c r="C65" s="1"/>
      <c r="D65" s="1"/>
    </row>
    <row r="66" spans="1:9" x14ac:dyDescent="0.25">
      <c r="A66" s="6" t="s">
        <v>35</v>
      </c>
      <c r="B66" s="4">
        <f>(B24/B23)*100</f>
        <v>80.47482589064893</v>
      </c>
      <c r="C66" s="4"/>
      <c r="D66" s="4"/>
      <c r="E66" s="4"/>
      <c r="F66" s="4"/>
    </row>
    <row r="67" spans="1:9" x14ac:dyDescent="0.25">
      <c r="A67" s="6" t="s">
        <v>36</v>
      </c>
      <c r="B67" s="4">
        <f>(B18/B24)*100</f>
        <v>92.7185377874696</v>
      </c>
      <c r="C67" s="4"/>
      <c r="D67" s="4"/>
      <c r="E67" s="4"/>
      <c r="F67" s="4"/>
    </row>
    <row r="68" spans="1:9" ht="15.75" thickBot="1" x14ac:dyDescent="0.3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.75" thickTop="1" x14ac:dyDescent="0.25"/>
    <row r="70" spans="1:9" x14ac:dyDescent="0.25">
      <c r="A70" s="13" t="s">
        <v>63</v>
      </c>
    </row>
    <row r="71" spans="1:9" x14ac:dyDescent="0.25">
      <c r="A71" s="25" t="s">
        <v>116</v>
      </c>
    </row>
    <row r="72" spans="1:9" x14ac:dyDescent="0.25">
      <c r="A72" s="6" t="s">
        <v>117</v>
      </c>
      <c r="B72" s="14"/>
      <c r="C72" s="14"/>
    </row>
    <row r="76" spans="1:9" x14ac:dyDescent="0.25">
      <c r="A76" s="6" t="s">
        <v>110</v>
      </c>
    </row>
    <row r="77" spans="1:9" x14ac:dyDescent="0.25">
      <c r="A77" s="6" t="s">
        <v>111</v>
      </c>
    </row>
    <row r="78" spans="1:9" x14ac:dyDescent="0.25">
      <c r="A78" s="6" t="s">
        <v>118</v>
      </c>
    </row>
  </sheetData>
  <mergeCells count="4">
    <mergeCell ref="A2:G2"/>
    <mergeCell ref="A4:A5"/>
    <mergeCell ref="B4:B5"/>
    <mergeCell ref="C4:I4"/>
  </mergeCells>
  <hyperlinks>
    <hyperlink ref="I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Sayra Rojas Rios</cp:lastModifiedBy>
  <dcterms:created xsi:type="dcterms:W3CDTF">2011-10-21T22:22:06Z</dcterms:created>
  <dcterms:modified xsi:type="dcterms:W3CDTF">2013-10-29T20:48:03Z</dcterms:modified>
</cp:coreProperties>
</file>