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jas\Documents\Hermes Cliente\files\"/>
    </mc:Choice>
  </mc:AlternateContent>
  <bookViews>
    <workbookView xWindow="360" yWindow="120" windowWidth="16515" windowHeight="9495" tabRatio="721" activeTab="6"/>
  </bookViews>
  <sheets>
    <sheet name="I Trimestre" sheetId="8" r:id="rId1"/>
    <sheet name="II Trimestre" sheetId="2" r:id="rId2"/>
    <sheet name="III Trimestre" sheetId="3" r:id="rId3"/>
    <sheet name="IV Trimestre" sheetId="4" r:id="rId4"/>
    <sheet name="I Semestre" sheetId="5" r:id="rId5"/>
    <sheet name="III Trimestre acumulado" sheetId="6" r:id="rId6"/>
    <sheet name="Anual 2012" sheetId="7" r:id="rId7"/>
  </sheets>
  <calcPr calcId="152511"/>
</workbook>
</file>

<file path=xl/calcChain.xml><?xml version="1.0" encoding="utf-8"?>
<calcChain xmlns="http://schemas.openxmlformats.org/spreadsheetml/2006/main">
  <c r="C16" i="3" l="1"/>
  <c r="B16" i="3"/>
  <c r="B16" i="2"/>
  <c r="C16" i="2" s="1"/>
  <c r="C16" i="8"/>
  <c r="C16" i="4"/>
  <c r="C11" i="2"/>
  <c r="C11" i="8"/>
  <c r="B16" i="5" l="1"/>
  <c r="F18" i="5"/>
  <c r="E18" i="5"/>
  <c r="D18" i="5"/>
  <c r="F17" i="5"/>
  <c r="E17" i="5"/>
  <c r="D17" i="5"/>
  <c r="E19" i="5"/>
  <c r="F19" i="5"/>
  <c r="D19" i="5"/>
  <c r="E19" i="6"/>
  <c r="F19" i="6"/>
  <c r="D19" i="6"/>
  <c r="D18" i="6"/>
  <c r="E18" i="6"/>
  <c r="F18" i="6"/>
  <c r="E17" i="6"/>
  <c r="F17" i="6"/>
  <c r="D17" i="6"/>
  <c r="C11" i="5"/>
  <c r="C12" i="5"/>
  <c r="C13" i="5"/>
  <c r="C10" i="5"/>
  <c r="C11" i="6"/>
  <c r="C12" i="6"/>
  <c r="C13" i="6"/>
  <c r="C10" i="6"/>
  <c r="B13" i="5"/>
  <c r="B12" i="5"/>
  <c r="B11" i="5"/>
  <c r="B10" i="5"/>
  <c r="B13" i="6"/>
  <c r="B12" i="6"/>
  <c r="B11" i="6"/>
  <c r="B10" i="6"/>
  <c r="E19" i="7"/>
  <c r="F19" i="7"/>
  <c r="D19" i="7"/>
  <c r="B19" i="6" l="1"/>
  <c r="C19" i="6" s="1"/>
  <c r="B20" i="6"/>
  <c r="B20" i="5"/>
  <c r="B19" i="5"/>
  <c r="C19" i="5" s="1"/>
  <c r="B19" i="4"/>
  <c r="C19" i="4" s="1"/>
  <c r="B18" i="4"/>
  <c r="C18" i="4" s="1"/>
  <c r="B17" i="4"/>
  <c r="C17" i="4" s="1"/>
  <c r="B19" i="3"/>
  <c r="C19" i="3" s="1"/>
  <c r="B18" i="3"/>
  <c r="C18" i="3" s="1"/>
  <c r="B17" i="3"/>
  <c r="C17" i="3" s="1"/>
  <c r="B19" i="2"/>
  <c r="C19" i="2" s="1"/>
  <c r="B18" i="2"/>
  <c r="C18" i="2" s="1"/>
  <c r="B17" i="2"/>
  <c r="C17" i="2" s="1"/>
  <c r="B19" i="8"/>
  <c r="C19" i="8" s="1"/>
  <c r="B18" i="8"/>
  <c r="C18" i="8" s="1"/>
  <c r="B17" i="8"/>
  <c r="C17" i="8" l="1"/>
  <c r="B17" i="5"/>
  <c r="C17" i="5" s="1"/>
  <c r="B17" i="6"/>
  <c r="C17" i="6" s="1"/>
  <c r="B18" i="5"/>
  <c r="C18" i="5" s="1"/>
  <c r="B18" i="6"/>
  <c r="C18" i="6" s="1"/>
  <c r="B24" i="6"/>
  <c r="B11" i="7" l="1"/>
  <c r="B12" i="7"/>
  <c r="B13" i="7"/>
  <c r="B10" i="7"/>
  <c r="B57" i="7" s="1"/>
  <c r="C11" i="7"/>
  <c r="C12" i="7"/>
  <c r="C13" i="7"/>
  <c r="C10" i="7"/>
  <c r="C57" i="7" s="1"/>
  <c r="B63" i="6"/>
  <c r="B66" i="6"/>
  <c r="C49" i="6"/>
  <c r="B49" i="6"/>
  <c r="C57" i="6"/>
  <c r="B57" i="6"/>
  <c r="F54" i="6"/>
  <c r="E54" i="6"/>
  <c r="D54" i="6"/>
  <c r="F50" i="6"/>
  <c r="E50" i="6"/>
  <c r="D50" i="6"/>
  <c r="C44" i="6"/>
  <c r="B44" i="6"/>
  <c r="B63" i="5"/>
  <c r="B57" i="5"/>
  <c r="C57" i="5"/>
  <c r="C49" i="5"/>
  <c r="B49" i="5"/>
  <c r="C44" i="5"/>
  <c r="B44" i="5"/>
  <c r="B66" i="5"/>
  <c r="F54" i="5"/>
  <c r="E54" i="5"/>
  <c r="D54" i="5"/>
  <c r="C54" i="5"/>
  <c r="B54" i="5"/>
  <c r="F50" i="5"/>
  <c r="E50" i="5"/>
  <c r="D50" i="5"/>
  <c r="B63" i="4"/>
  <c r="B62" i="4"/>
  <c r="B65" i="4"/>
  <c r="B57" i="4"/>
  <c r="B66" i="3"/>
  <c r="B66" i="4"/>
  <c r="B70" i="4"/>
  <c r="C57" i="4"/>
  <c r="F54" i="4"/>
  <c r="E54" i="4"/>
  <c r="D54" i="4"/>
  <c r="C54" i="4"/>
  <c r="B54" i="4"/>
  <c r="F50" i="4"/>
  <c r="E50" i="4"/>
  <c r="D50" i="4"/>
  <c r="C49" i="4"/>
  <c r="B49" i="4"/>
  <c r="F45" i="4"/>
  <c r="E45" i="4"/>
  <c r="D45" i="4"/>
  <c r="C45" i="4"/>
  <c r="B45" i="4"/>
  <c r="C44" i="4"/>
  <c r="B44" i="4"/>
  <c r="B46" i="4" s="1"/>
  <c r="B44" i="3"/>
  <c r="C54" i="8"/>
  <c r="C54" i="2"/>
  <c r="C54" i="3"/>
  <c r="C57" i="3"/>
  <c r="C49" i="3"/>
  <c r="B49" i="3"/>
  <c r="B70" i="3"/>
  <c r="B63" i="3"/>
  <c r="B57" i="3"/>
  <c r="F54" i="3"/>
  <c r="E54" i="3"/>
  <c r="D54" i="3"/>
  <c r="B54" i="3"/>
  <c r="F50" i="3"/>
  <c r="E50" i="3"/>
  <c r="D50" i="3"/>
  <c r="F45" i="3"/>
  <c r="E45" i="3"/>
  <c r="D45" i="3"/>
  <c r="C44" i="3"/>
  <c r="B44" i="2"/>
  <c r="B49" i="2"/>
  <c r="C57" i="2"/>
  <c r="B66" i="8"/>
  <c r="B66" i="2"/>
  <c r="B70" i="2"/>
  <c r="B63" i="2"/>
  <c r="B57" i="2"/>
  <c r="F54" i="2"/>
  <c r="E54" i="2"/>
  <c r="D54" i="2"/>
  <c r="B54" i="2"/>
  <c r="F50" i="2"/>
  <c r="E50" i="2"/>
  <c r="D50" i="2"/>
  <c r="C49" i="2"/>
  <c r="F45" i="2"/>
  <c r="E45" i="2"/>
  <c r="D45" i="2"/>
  <c r="C44" i="2"/>
  <c r="C45" i="8"/>
  <c r="C50" i="8"/>
  <c r="C32" i="8"/>
  <c r="C33" i="8"/>
  <c r="C35" i="8" s="1"/>
  <c r="B64" i="4" l="1"/>
  <c r="C46" i="4"/>
  <c r="B49" i="7"/>
  <c r="C58" i="8"/>
  <c r="C34" i="8"/>
  <c r="C59" i="8" s="1"/>
  <c r="B44" i="7"/>
  <c r="C49" i="7"/>
  <c r="C44" i="7"/>
  <c r="B50" i="6"/>
  <c r="B51" i="6" s="1"/>
  <c r="B70" i="6"/>
  <c r="B49" i="8" l="1"/>
  <c r="B44" i="8"/>
  <c r="B24" i="7" l="1"/>
  <c r="E18" i="7"/>
  <c r="F18" i="7"/>
  <c r="D18" i="7"/>
  <c r="C32" i="7"/>
  <c r="B19" i="7"/>
  <c r="C19" i="7" s="1"/>
  <c r="C32" i="6"/>
  <c r="B24" i="5"/>
  <c r="B70" i="5" s="1"/>
  <c r="E33" i="5"/>
  <c r="F50" i="8"/>
  <c r="E50" i="8"/>
  <c r="F33" i="8"/>
  <c r="E33" i="8"/>
  <c r="D33" i="8"/>
  <c r="F54" i="8"/>
  <c r="E54" i="8"/>
  <c r="D54" i="8"/>
  <c r="D50" i="8"/>
  <c r="F45" i="8"/>
  <c r="E45" i="8"/>
  <c r="B32" i="8"/>
  <c r="B34" i="8" s="1"/>
  <c r="D33" i="5"/>
  <c r="C32" i="5"/>
  <c r="F33" i="4"/>
  <c r="E33" i="4"/>
  <c r="D33" i="4"/>
  <c r="C32" i="4"/>
  <c r="C50" i="4"/>
  <c r="C51" i="4" s="1"/>
  <c r="B32" i="4"/>
  <c r="F33" i="3"/>
  <c r="E33" i="3"/>
  <c r="D33" i="3"/>
  <c r="C32" i="3"/>
  <c r="C50" i="3"/>
  <c r="C51" i="3" s="1"/>
  <c r="B50" i="3"/>
  <c r="B51" i="3" s="1"/>
  <c r="C45" i="3"/>
  <c r="C46" i="3" s="1"/>
  <c r="B32" i="3"/>
  <c r="D54" i="7" l="1"/>
  <c r="D50" i="7"/>
  <c r="E50" i="7"/>
  <c r="E54" i="7"/>
  <c r="F54" i="7"/>
  <c r="F50" i="7"/>
  <c r="C50" i="5"/>
  <c r="C51" i="5" s="1"/>
  <c r="B50" i="5"/>
  <c r="B51" i="5" s="1"/>
  <c r="B65" i="8"/>
  <c r="B62" i="8"/>
  <c r="F33" i="5"/>
  <c r="B63" i="8"/>
  <c r="C57" i="8"/>
  <c r="C49" i="8"/>
  <c r="C51" i="8" s="1"/>
  <c r="C44" i="8"/>
  <c r="C46" i="8" s="1"/>
  <c r="B70" i="8"/>
  <c r="B45" i="8"/>
  <c r="B46" i="8" s="1"/>
  <c r="B33" i="8"/>
  <c r="B35" i="8" s="1"/>
  <c r="E45" i="5"/>
  <c r="D45" i="8"/>
  <c r="E45" i="6"/>
  <c r="E17" i="7"/>
  <c r="E45" i="7" s="1"/>
  <c r="B18" i="7"/>
  <c r="D33" i="7"/>
  <c r="F33" i="7"/>
  <c r="E33" i="7"/>
  <c r="D33" i="6"/>
  <c r="F33" i="6"/>
  <c r="E33" i="6"/>
  <c r="B23" i="8"/>
  <c r="B69" i="8" s="1"/>
  <c r="B57" i="8"/>
  <c r="B54" i="8"/>
  <c r="B50" i="8"/>
  <c r="B51" i="8" s="1"/>
  <c r="B50" i="4"/>
  <c r="B51" i="4" s="1"/>
  <c r="B34" i="4"/>
  <c r="C34" i="4"/>
  <c r="B33" i="4"/>
  <c r="B58" i="4" s="1"/>
  <c r="C33" i="4"/>
  <c r="C58" i="4" s="1"/>
  <c r="B34" i="3"/>
  <c r="C34" i="3"/>
  <c r="B33" i="3"/>
  <c r="B58" i="3" s="1"/>
  <c r="C33" i="3"/>
  <c r="C58" i="3" s="1"/>
  <c r="B64" i="8" l="1"/>
  <c r="B50" i="7"/>
  <c r="B51" i="7" s="1"/>
  <c r="C18" i="7"/>
  <c r="C54" i="7" s="1"/>
  <c r="B54" i="7"/>
  <c r="B63" i="7"/>
  <c r="B66" i="7"/>
  <c r="C50" i="7"/>
  <c r="C51" i="7" s="1"/>
  <c r="B70" i="7"/>
  <c r="B65" i="3"/>
  <c r="B62" i="3"/>
  <c r="B45" i="3"/>
  <c r="B46" i="3" s="1"/>
  <c r="B33" i="5"/>
  <c r="C35" i="5" s="1"/>
  <c r="B23" i="4"/>
  <c r="B69" i="4" s="1"/>
  <c r="B54" i="6"/>
  <c r="B33" i="7"/>
  <c r="B35" i="7" s="1"/>
  <c r="B33" i="6"/>
  <c r="C33" i="7"/>
  <c r="C58" i="7" s="1"/>
  <c r="C33" i="6"/>
  <c r="C58" i="6" s="1"/>
  <c r="C54" i="6"/>
  <c r="B58" i="8"/>
  <c r="B59" i="8"/>
  <c r="B35" i="4"/>
  <c r="B59" i="4" s="1"/>
  <c r="C35" i="4"/>
  <c r="C59" i="4" s="1"/>
  <c r="B35" i="3"/>
  <c r="B59" i="3" s="1"/>
  <c r="C35" i="3"/>
  <c r="C59" i="3" s="1"/>
  <c r="B23" i="3"/>
  <c r="B69" i="3" s="1"/>
  <c r="F33" i="2"/>
  <c r="E33" i="2"/>
  <c r="D33" i="2"/>
  <c r="C32" i="2"/>
  <c r="B50" i="2"/>
  <c r="B51" i="2" s="1"/>
  <c r="B35" i="5" l="1"/>
  <c r="C35" i="7"/>
  <c r="B64" i="3"/>
  <c r="B62" i="2"/>
  <c r="B65" i="2"/>
  <c r="B45" i="2"/>
  <c r="B46" i="2" s="1"/>
  <c r="C50" i="6"/>
  <c r="C51" i="6" s="1"/>
  <c r="B35" i="6"/>
  <c r="C35" i="6"/>
  <c r="D45" i="5"/>
  <c r="D45" i="6"/>
  <c r="D17" i="7"/>
  <c r="D45" i="7" s="1"/>
  <c r="C45" i="2"/>
  <c r="C46" i="2" s="1"/>
  <c r="B32" i="2"/>
  <c r="B34" i="2" s="1"/>
  <c r="B16" i="7"/>
  <c r="B32" i="7" s="1"/>
  <c r="B58" i="7" s="1"/>
  <c r="B32" i="5"/>
  <c r="B58" i="5" s="1"/>
  <c r="B32" i="6"/>
  <c r="B58" i="6" s="1"/>
  <c r="C50" i="2"/>
  <c r="C51" i="2" s="1"/>
  <c r="F17" i="7"/>
  <c r="F45" i="7" s="1"/>
  <c r="F45" i="5"/>
  <c r="F45" i="6"/>
  <c r="C33" i="5"/>
  <c r="C58" i="5" s="1"/>
  <c r="B23" i="2"/>
  <c r="B69" i="2" s="1"/>
  <c r="B33" i="2"/>
  <c r="C33" i="2"/>
  <c r="C58" i="2" s="1"/>
  <c r="C34" i="2" l="1"/>
  <c r="B58" i="2"/>
  <c r="B64" i="2"/>
  <c r="B65" i="6"/>
  <c r="B62" i="6"/>
  <c r="B45" i="6"/>
  <c r="B46" i="6" s="1"/>
  <c r="B62" i="5"/>
  <c r="B65" i="5"/>
  <c r="B45" i="5"/>
  <c r="B46" i="5" s="1"/>
  <c r="C34" i="5"/>
  <c r="C59" i="5" s="1"/>
  <c r="B34" i="5"/>
  <c r="B59" i="5" s="1"/>
  <c r="B17" i="7"/>
  <c r="C17" i="7" s="1"/>
  <c r="C45" i="6"/>
  <c r="C46" i="6" s="1"/>
  <c r="B23" i="6"/>
  <c r="B69" i="6" s="1"/>
  <c r="C34" i="6"/>
  <c r="C59" i="6" s="1"/>
  <c r="B34" i="6"/>
  <c r="B59" i="6" s="1"/>
  <c r="B34" i="7"/>
  <c r="B59" i="7" s="1"/>
  <c r="C34" i="7"/>
  <c r="C59" i="7" s="1"/>
  <c r="B23" i="5"/>
  <c r="B69" i="5" s="1"/>
  <c r="C45" i="5"/>
  <c r="C46" i="5" s="1"/>
  <c r="B35" i="2"/>
  <c r="B59" i="2" s="1"/>
  <c r="C35" i="2"/>
  <c r="B64" i="6" l="1"/>
  <c r="C59" i="2"/>
  <c r="B64" i="5"/>
  <c r="B45" i="7"/>
  <c r="B46" i="7" s="1"/>
  <c r="B62" i="7"/>
  <c r="B65" i="7"/>
  <c r="C45" i="7"/>
  <c r="C46" i="7" s="1"/>
  <c r="B23" i="7"/>
  <c r="B69" i="7" s="1"/>
  <c r="B64" i="7" l="1"/>
</calcChain>
</file>

<file path=xl/sharedStrings.xml><?xml version="1.0" encoding="utf-8"?>
<sst xmlns="http://schemas.openxmlformats.org/spreadsheetml/2006/main" count="532" uniqueCount="131">
  <si>
    <t>Indicador</t>
  </si>
  <si>
    <t>Total programa</t>
  </si>
  <si>
    <t>Producto</t>
  </si>
  <si>
    <t>Subs. Atención Directa</t>
  </si>
  <si>
    <t>Equipamiento</t>
  </si>
  <si>
    <t>Construcción</t>
  </si>
  <si>
    <t>Insumos</t>
  </si>
  <si>
    <t xml:space="preserve">Beneficiarios </t>
  </si>
  <si>
    <t>Efectivos 3T 2011</t>
  </si>
  <si>
    <t>Gasto FODESAF</t>
  </si>
  <si>
    <t>Ingresos FODESAF</t>
  </si>
  <si>
    <t>Otros insumos</t>
  </si>
  <si>
    <t>IPC (3T 2011)</t>
  </si>
  <si>
    <t>Población objetivo</t>
  </si>
  <si>
    <t>Cálculos intermedios</t>
  </si>
  <si>
    <t>Gasto efectivo real 3T 2011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</si>
  <si>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</si>
  <si>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</si>
  <si>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</si>
  <si>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</si>
  <si>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</si>
  <si>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</si>
  <si>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</si>
  <si>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</si>
  <si>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</si>
  <si>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</si>
  <si>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</si>
  <si>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</si>
  <si>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</si>
  <si>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</si>
  <si>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</si>
  <si>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</si>
  <si>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</si>
  <si>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</si>
  <si>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</si>
  <si>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</si>
  <si>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</si>
  <si>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</si>
  <si>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</si>
  <si>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</si>
  <si>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Efectivos 1T 2011</t>
  </si>
  <si>
    <t>IPC (1T 2011)</t>
  </si>
  <si>
    <t>Gasto efectivo real 1T 2011</t>
  </si>
  <si>
    <t>Gasto efectivo real por beneficiario 1T 2011</t>
  </si>
  <si>
    <t>Promedio Mensual</t>
  </si>
  <si>
    <t>Efectivos 2T 2011</t>
  </si>
  <si>
    <t>IPC (2T 2011)</t>
  </si>
  <si>
    <t>Gasto efectivo real 2T 2011</t>
  </si>
  <si>
    <t>Gasto efectivo real por beneficiario 2T 2011</t>
  </si>
  <si>
    <t>Efectivos 4T 2011</t>
  </si>
  <si>
    <t>IPC (4T 2011)</t>
  </si>
  <si>
    <t>Gasto efectivo real 4T 2011</t>
  </si>
  <si>
    <t>Gasto efectivo real por beneficiario 4T 2011</t>
  </si>
  <si>
    <t>Efectivos 1S 2011</t>
  </si>
  <si>
    <t>IPC (1S 2011)</t>
  </si>
  <si>
    <t>Gasto efectivo real 1S 2011</t>
  </si>
  <si>
    <t>Gasto efectivo real por beneficiario 1S 2011</t>
  </si>
  <si>
    <t>Efectivos 3T. Ac. 2011</t>
  </si>
  <si>
    <t>IPC (3T. Ac. 2011)</t>
  </si>
  <si>
    <t>Gasto efectivo real 3T. Ac. 2011</t>
  </si>
  <si>
    <t>Gasto efectivo real por beneficiario 3T. Ac. 2011</t>
  </si>
  <si>
    <t>Efectivos  2011</t>
  </si>
  <si>
    <t>IPC ( 2011)</t>
  </si>
  <si>
    <t>Gasto efectivo real  2011</t>
  </si>
  <si>
    <t>Gasto efectivo real por beneficiario  2011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</si>
  <si>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</si>
  <si>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</si>
  <si>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</si>
  <si>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</si>
  <si>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</si>
  <si>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</si>
  <si>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</si>
  <si>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</si>
  <si>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</si>
  <si>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Notas</t>
  </si>
  <si>
    <t>El Total de beneficiarios del programa contabiliza los beneficiarios distintos atendidos en el período al menos una vez</t>
  </si>
  <si>
    <t>Los índices del gasto medio se calculan tomando los beneficiarios promedio del programa</t>
  </si>
  <si>
    <t>Indicadores propuestos aplicado a Ciudad de los niños. Primer trimestre 2012</t>
  </si>
  <si>
    <t>Programados 1T 2012</t>
  </si>
  <si>
    <t>Efectivos 1T 2012</t>
  </si>
  <si>
    <t>Programados año 2012</t>
  </si>
  <si>
    <t>En transferencias 1T 2012</t>
  </si>
  <si>
    <t>IPC (1T 2012)</t>
  </si>
  <si>
    <t>Gasto efectivo real 1T 2012</t>
  </si>
  <si>
    <t>Gasto efectivo real por beneficiario 1T 2012</t>
  </si>
  <si>
    <t>Informes Trimestrales 2012 de la Ciudad de los Niños</t>
  </si>
  <si>
    <t>PAO Ciudad de los niños 2012.</t>
  </si>
  <si>
    <t>Indicadores propuestos aplicado a Ciudad de los niños. Segundo trimestre 2012</t>
  </si>
  <si>
    <t>Programados 2T 2012</t>
  </si>
  <si>
    <t>Efectivos 2T 2012</t>
  </si>
  <si>
    <t>En transferencias 2T 2012</t>
  </si>
  <si>
    <t>IPC (2T 2012)</t>
  </si>
  <si>
    <t>Gasto efectivo real 2T 2012</t>
  </si>
  <si>
    <t>Gasto efectivo real por beneficiario 2T 2012</t>
  </si>
  <si>
    <t>Indicadores propuestos aplicado a Ciudad de los niños. Tercer trimestre 2012</t>
  </si>
  <si>
    <t>Programados 3T 2012</t>
  </si>
  <si>
    <t>Efectivos 3T 2012</t>
  </si>
  <si>
    <t>En transferencias 3T 2012</t>
  </si>
  <si>
    <t>IPC (3T 2012)</t>
  </si>
  <si>
    <t>Gasto efectivo real 3T 2012</t>
  </si>
  <si>
    <t>Gasto efectivo real por beneficiario 3T 2012</t>
  </si>
  <si>
    <t>Indicadores propuestos aplicado a Ciudad de los niños. Cuarto trimestre 2012</t>
  </si>
  <si>
    <t>Programados 4T 2012</t>
  </si>
  <si>
    <t>Efectivos 4T 2012</t>
  </si>
  <si>
    <t>En transferencias 4T 2012</t>
  </si>
  <si>
    <t>IPC (4T 2012)</t>
  </si>
  <si>
    <t>Gasto efectivo real 4T 2012</t>
  </si>
  <si>
    <t>Gasto efectivo real por beneficiario 4T 2012</t>
  </si>
  <si>
    <t>Indicadores propuestos aplicado a Ciudad de los niños. Primer Semestre 2012</t>
  </si>
  <si>
    <t>Programados 1S 2012</t>
  </si>
  <si>
    <t>Efectivos 1S 2012</t>
  </si>
  <si>
    <t>En transferencias 1S 2012</t>
  </si>
  <si>
    <t>IPC (1S 2012)</t>
  </si>
  <si>
    <t>Gasto efectivo real 1S 2012</t>
  </si>
  <si>
    <t>Gasto efectivo real por beneficiario 1S 2012</t>
  </si>
  <si>
    <t>Indicadores propuestos aplicado a Ciudad de los niños. Tercer Trimestre Acumulado 2012</t>
  </si>
  <si>
    <t>Programados 3T. Ac. 2012</t>
  </si>
  <si>
    <t>Efectivos 3T. Ac. 2012</t>
  </si>
  <si>
    <t>En transferencias 3T. Ac. 2012</t>
  </si>
  <si>
    <t>IPC (3T. Ac. 2012)</t>
  </si>
  <si>
    <t>Gasto efectivo real 3T. Ac. 2012</t>
  </si>
  <si>
    <t>Gasto efectivo real por beneficiario 3T. Ac. 2012</t>
  </si>
  <si>
    <t>Indicadores propuestos aplicado a Ciudad de los niños.  Año 2012</t>
  </si>
  <si>
    <t>Programados  2012</t>
  </si>
  <si>
    <t>Efectivos  2012</t>
  </si>
  <si>
    <t>En transferencias  2012</t>
  </si>
  <si>
    <t>IPC ( 2012)</t>
  </si>
  <si>
    <t>Gasto efectivo real  2012</t>
  </si>
  <si>
    <t>Gasto efectivo real por beneficiario  2012</t>
  </si>
  <si>
    <t>Los datos del 2011 son tomados de un documento con datos proporcionados por la Institución; no hay ningún informe oficial al respecto.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</si>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</sst>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#,##0.0____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left" indent="1"/>
    </xf>
    <xf numFmtId="4" fontId="0" fillId="0" borderId="0" xfId="0" applyNumberFormat="1" applyFill="1"/>
    <xf numFmtId="0" fontId="0" fillId="0" borderId="0" xfId="0" applyAlignment="1">
      <alignment horizontal="left"/>
    </xf>
    <xf numFmtId="0" fontId="2" fillId="0" borderId="0" xfId="0" applyFont="1"/>
    <xf numFmtId="0" fontId="0" fillId="0" borderId="3" xfId="0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3" fontId="0" fillId="0" borderId="0" xfId="0" applyNumberFormat="1" applyFill="1"/>
    <xf numFmtId="165" fontId="0" fillId="0" borderId="0" xfId="0" applyNumberFormat="1" applyFill="1"/>
    <xf numFmtId="0" fontId="0" fillId="0" borderId="0" xfId="0" applyAlignment="1"/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3" fillId="0" borderId="0" xfId="0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0" fillId="0" borderId="3" xfId="0" applyFill="1" applyBorder="1"/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/>
    <xf numFmtId="166" fontId="0" fillId="0" borderId="0" xfId="1" applyNumberFormat="1" applyFont="1" applyFill="1"/>
    <xf numFmtId="166" fontId="0" fillId="0" borderId="0" xfId="1" applyNumberFormat="1" applyFont="1" applyFill="1" applyAlignment="1">
      <alignment horizontal="right"/>
    </xf>
    <xf numFmtId="166" fontId="0" fillId="0" borderId="0" xfId="1" applyNumberFormat="1" applyFont="1"/>
    <xf numFmtId="3" fontId="0" fillId="2" borderId="0" xfId="0" applyNumberFormat="1" applyFill="1"/>
    <xf numFmtId="3" fontId="0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3" fontId="5" fillId="0" borderId="5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Indicadores de Cobertura Potencial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'Anual 2012'!$B$4:$C$5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'Anual 2012'!$B$40:$C$40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'Anual 2012'!$A$41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'Anual 2012'!$B$4:$C$5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'Anual 2012'!$B$41:$C$41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28040"/>
        <c:axId val="290036616"/>
      </c:barChart>
      <c:catAx>
        <c:axId val="290028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0036616"/>
        <c:crosses val="autoZero"/>
        <c:auto val="1"/>
        <c:lblAlgn val="ctr"/>
        <c:lblOffset val="100"/>
        <c:noMultiLvlLbl val="0"/>
      </c:catAx>
      <c:valAx>
        <c:axId val="290036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90028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Indicadores de Resultado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('Anual 2012'!$B$4:$B$5,'Anual 2012'!$C$4:$C$5,'Anual 2012'!$D$5,'Anual 2012'!$E$5,'Anual 2012'!$F$5)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'Anual 2012'!$B$44:$C$44</c:f>
              <c:numCache>
                <c:formatCode>#,##0.00</c:formatCode>
                <c:ptCount val="2"/>
                <c:pt idx="0">
                  <c:v>93.333333333333329</c:v>
                </c:pt>
                <c:pt idx="1">
                  <c:v>85.648351648351635</c:v>
                </c:pt>
              </c:numCache>
            </c:numRef>
          </c:val>
        </c:ser>
        <c:ser>
          <c:idx val="1"/>
          <c:order val="1"/>
          <c:tx>
            <c:strRef>
              <c:f>'Anual 2012'!$A$45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('Anual 2012'!$B$4:$B$5,'Anual 2012'!$C$4:$C$5,'Anual 2012'!$D$5,'Anual 2012'!$E$5,'Anual 2012'!$F$5)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'Anual 2012'!$B$45:$F$45</c:f>
              <c:numCache>
                <c:formatCode>#,##0.00</c:formatCode>
                <c:ptCount val="5"/>
                <c:pt idx="0">
                  <c:v>57.545949251178364</c:v>
                </c:pt>
                <c:pt idx="1">
                  <c:v>57.545949251178349</c:v>
                </c:pt>
                <c:pt idx="2">
                  <c:v>44.356981690149773</c:v>
                </c:pt>
                <c:pt idx="3">
                  <c:v>37.184887886794513</c:v>
                </c:pt>
                <c:pt idx="4">
                  <c:v>117.16298709196768</c:v>
                </c:pt>
              </c:numCache>
            </c:numRef>
          </c:val>
        </c:ser>
        <c:ser>
          <c:idx val="2"/>
          <c:order val="2"/>
          <c:tx>
            <c:strRef>
              <c:f>'Anual 2012'!$A$46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('Anual 2012'!$B$4:$B$5,'Anual 2012'!$C$4:$C$5,'Anual 2012'!$D$5,'Anual 2012'!$E$5,'Anual 2012'!$F$5)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'Anual 2012'!$B$46:$C$46</c:f>
              <c:numCache>
                <c:formatCode>#,##0.00</c:formatCode>
                <c:ptCount val="2"/>
                <c:pt idx="0">
                  <c:v>75.439641292255843</c:v>
                </c:pt>
                <c:pt idx="1">
                  <c:v>71.597150449764996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389960"/>
        <c:axId val="290390344"/>
      </c:barChart>
      <c:catAx>
        <c:axId val="29038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0390344"/>
        <c:crosses val="autoZero"/>
        <c:auto val="1"/>
        <c:lblAlgn val="ctr"/>
        <c:lblOffset val="100"/>
        <c:noMultiLvlLbl val="0"/>
      </c:catAx>
      <c:valAx>
        <c:axId val="29039034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90389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Indicadores de Avance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('Anual 2012'!$B$4:$B$5,'Anual 2012'!$C$4:$C$5,'Anual 2012'!$D$5,'Anual 2012'!$E$5,'Anual 2012'!$F$5)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'Anual 2012'!$B$49:$C$49</c:f>
              <c:numCache>
                <c:formatCode>#,##0.00</c:formatCode>
                <c:ptCount val="2"/>
                <c:pt idx="0">
                  <c:v>93.333333333333329</c:v>
                </c:pt>
                <c:pt idx="1">
                  <c:v>78.72727272727272</c:v>
                </c:pt>
              </c:numCache>
            </c:numRef>
          </c:val>
        </c:ser>
        <c:ser>
          <c:idx val="1"/>
          <c:order val="1"/>
          <c:tx>
            <c:strRef>
              <c:f>'Anual 2012'!$A$50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('Anual 2012'!$B$4:$B$5,'Anual 2012'!$C$4:$C$5,'Anual 2012'!$D$5,'Anual 2012'!$E$5,'Anual 2012'!$F$5)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'Anual 2012'!$B$50:$F$50</c:f>
              <c:numCache>
                <c:formatCode>#,##0.00</c:formatCode>
                <c:ptCount val="5"/>
                <c:pt idx="0">
                  <c:v>86.725818702703478</c:v>
                </c:pt>
                <c:pt idx="1">
                  <c:v>86.725818702703478</c:v>
                </c:pt>
                <c:pt idx="2">
                  <c:v>100.00246988608863</c:v>
                </c:pt>
                <c:pt idx="3">
                  <c:v>37.184887886794513</c:v>
                </c:pt>
                <c:pt idx="4">
                  <c:v>117.16298709196768</c:v>
                </c:pt>
              </c:numCache>
            </c:numRef>
          </c:val>
        </c:ser>
        <c:ser>
          <c:idx val="2"/>
          <c:order val="2"/>
          <c:tx>
            <c:strRef>
              <c:f>'Anual 2012'!$A$51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('Anual 2012'!$B$4:$B$5,'Anual 2012'!$C$4:$C$5,'Anual 2012'!$D$5,'Anual 2012'!$E$5,'Anual 2012'!$F$5)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Subs.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'Anual 2012'!$B$51:$C$51</c:f>
              <c:numCache>
                <c:formatCode>#,##0.00</c:formatCode>
                <c:ptCount val="2"/>
                <c:pt idx="0">
                  <c:v>90.029576018018403</c:v>
                </c:pt>
                <c:pt idx="1">
                  <c:v>82.726545714988106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13664"/>
        <c:axId val="290452608"/>
      </c:barChart>
      <c:catAx>
        <c:axId val="29001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0452608"/>
        <c:crosses val="autoZero"/>
        <c:auto val="1"/>
        <c:lblAlgn val="ctr"/>
        <c:lblOffset val="100"/>
        <c:noMultiLvlLbl val="0"/>
      </c:catAx>
      <c:valAx>
        <c:axId val="29045260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90013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Indicadores de Expansión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'Anual 2012'!$B$4:$C$5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'Anual 2012'!$B$57:$C$57</c:f>
              <c:numCache>
                <c:formatCode>#,##0.00</c:formatCode>
                <c:ptCount val="2"/>
                <c:pt idx="0">
                  <c:v>3.7037037037036979</c:v>
                </c:pt>
                <c:pt idx="1">
                  <c:v>2.9590488771466195</c:v>
                </c:pt>
              </c:numCache>
            </c:numRef>
          </c:val>
        </c:ser>
        <c:ser>
          <c:idx val="1"/>
          <c:order val="1"/>
          <c:tx>
            <c:strRef>
              <c:f>'Anual 2012'!$A$58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'Anual 2012'!$B$4:$C$5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'Anual 2012'!$B$58:$C$58</c:f>
              <c:numCache>
                <c:formatCode>#,##0.00</c:formatCode>
                <c:ptCount val="2"/>
                <c:pt idx="0">
                  <c:v>-23.16204540796608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'Anual 2012'!$A$59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'Anual 2012'!$B$4:$C$5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'Anual 2012'!$B$59</c:f>
              <c:numCache>
                <c:formatCode>#,##0.00</c:formatCode>
                <c:ptCount val="1"/>
                <c:pt idx="0">
                  <c:v>-25.906258071967294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55728"/>
        <c:axId val="290500856"/>
      </c:barChart>
      <c:catAx>
        <c:axId val="29045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0500856"/>
        <c:crosses val="autoZero"/>
        <c:auto val="1"/>
        <c:lblAlgn val="ctr"/>
        <c:lblOffset val="100"/>
        <c:noMultiLvlLbl val="0"/>
      </c:catAx>
      <c:valAx>
        <c:axId val="29050085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90455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Indicadores de Gasto Medio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'Anual 2012'!$B$4:$B$5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2012'!$B$62</c:f>
              <c:numCache>
                <c:formatCode>#,##0.00</c:formatCode>
                <c:ptCount val="1"/>
                <c:pt idx="0">
                  <c:v>141093.63367032967</c:v>
                </c:pt>
              </c:numCache>
            </c:numRef>
          </c:val>
        </c:ser>
        <c:ser>
          <c:idx val="1"/>
          <c:order val="1"/>
          <c:tx>
            <c:strRef>
              <c:f>'Anual 2012'!$A$63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'Anual 2012'!$B$4:$B$5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2012'!$B$63</c:f>
              <c:numCache>
                <c:formatCode>#,##0.00</c:formatCode>
                <c:ptCount val="1"/>
                <c:pt idx="0">
                  <c:v>94798.871508852957</c:v>
                </c:pt>
              </c:numCache>
            </c:numRef>
          </c:val>
        </c:ser>
        <c:ser>
          <c:idx val="2"/>
          <c:order val="2"/>
          <c:tx>
            <c:strRef>
              <c:f>'Anual 2012'!$A$65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invertIfNegative val="0"/>
          <c:cat>
            <c:strRef>
              <c:f>'Anual 2012'!$B$4:$B$5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2012'!$B$65</c:f>
              <c:numCache>
                <c:formatCode>#,##0.00</c:formatCode>
                <c:ptCount val="1"/>
                <c:pt idx="0">
                  <c:v>1693123.6040439561</c:v>
                </c:pt>
              </c:numCache>
            </c:numRef>
          </c:val>
        </c:ser>
        <c:ser>
          <c:idx val="3"/>
          <c:order val="3"/>
          <c:tx>
            <c:strRef>
              <c:f>'Anual 2012'!$A$66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invertIfNegative val="0"/>
          <c:cat>
            <c:strRef>
              <c:f>'Anual 2012'!$B$4:$B$5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2012'!$B$66</c:f>
              <c:numCache>
                <c:formatCode>#,##0.00</c:formatCode>
                <c:ptCount val="1"/>
                <c:pt idx="0">
                  <c:v>1137586.4581062356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574912"/>
        <c:axId val="290552920"/>
      </c:barChart>
      <c:catAx>
        <c:axId val="29057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0552920"/>
        <c:crosses val="autoZero"/>
        <c:auto val="1"/>
        <c:lblAlgn val="ctr"/>
        <c:lblOffset val="100"/>
        <c:noMultiLvlLbl val="0"/>
      </c:catAx>
      <c:valAx>
        <c:axId val="2905529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90574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Indicadores de Giro de Recursos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'Anual 2012'!$B$4:$B$5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2012'!$B$69</c:f>
              <c:numCache>
                <c:formatCode>#,##0.00</c:formatCode>
                <c:ptCount val="1"/>
                <c:pt idx="0">
                  <c:v>92.948609625758834</c:v>
                </c:pt>
              </c:numCache>
            </c:numRef>
          </c:val>
        </c:ser>
        <c:ser>
          <c:idx val="1"/>
          <c:order val="1"/>
          <c:tx>
            <c:strRef>
              <c:f>'Anual 2012'!$A$70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'Anual 2012'!$B$4:$B$5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2012'!$B$70</c:f>
              <c:numCache>
                <c:formatCode>#,##0.00</c:formatCode>
                <c:ptCount val="1"/>
                <c:pt idx="0">
                  <c:v>61.911576174056783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553704"/>
        <c:axId val="290554096"/>
      </c:barChart>
      <c:catAx>
        <c:axId val="290553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0554096"/>
        <c:crosses val="autoZero"/>
        <c:auto val="1"/>
        <c:lblAlgn val="ctr"/>
        <c:lblOffset val="100"/>
        <c:noMultiLvlLbl val="0"/>
      </c:catAx>
      <c:valAx>
        <c:axId val="29055409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90553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'Anual 2012'!$A$64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'Anual 2012'!$B$4:$B$5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'Anual 2012'!$B$64</c:f>
              <c:numCache>
                <c:formatCode>#,##0.00</c:formatCode>
                <c:ptCount val="1"/>
                <c:pt idx="0">
                  <c:v>112.28037784939886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554880"/>
        <c:axId val="290555272"/>
      </c:barChart>
      <c:catAx>
        <c:axId val="290554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0555272"/>
        <c:crosses val="autoZero"/>
        <c:auto val="1"/>
        <c:lblAlgn val="ctr"/>
        <c:lblOffset val="100"/>
        <c:noMultiLvlLbl val="0"/>
      </c:catAx>
      <c:valAx>
        <c:axId val="29055527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90554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25401</xdr:colOff>
      <xdr:row>1</xdr:row>
      <xdr:rowOff>15346</xdr:rowOff>
    </xdr:from>
    <xdr:to>
      <xdr:col>13</xdr:col>
      <xdr:colOff>21167</xdr:colOff>
      <xdr:row>15</xdr:row>
      <xdr:rowOff>62971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21167</xdr:colOff>
      <xdr:row>17</xdr:row>
      <xdr:rowOff>20107</xdr:rowOff>
    </xdr:from>
    <xdr:to>
      <xdr:col>13</xdr:col>
      <xdr:colOff>21167</xdr:colOff>
      <xdr:row>31</xdr:row>
      <xdr:rowOff>96307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31750</xdr:colOff>
      <xdr:row>32</xdr:row>
      <xdr:rowOff>189441</xdr:rowOff>
    </xdr:from>
    <xdr:to>
      <xdr:col>13</xdr:col>
      <xdr:colOff>31750</xdr:colOff>
      <xdr:row>47</xdr:row>
      <xdr:rowOff>75141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42333</xdr:colOff>
      <xdr:row>48</xdr:row>
      <xdr:rowOff>41275</xdr:rowOff>
    </xdr:from>
    <xdr:to>
      <xdr:col>13</xdr:col>
      <xdr:colOff>42333</xdr:colOff>
      <xdr:row>62</xdr:row>
      <xdr:rowOff>117475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21167</xdr:colOff>
      <xdr:row>64</xdr:row>
      <xdr:rowOff>9525</xdr:rowOff>
    </xdr:from>
    <xdr:to>
      <xdr:col>13</xdr:col>
      <xdr:colOff>21167</xdr:colOff>
      <xdr:row>78</xdr:row>
      <xdr:rowOff>64558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31751</xdr:colOff>
      <xdr:row>79</xdr:row>
      <xdr:rowOff>147108</xdr:rowOff>
    </xdr:from>
    <xdr:to>
      <xdr:col>13</xdr:col>
      <xdr:colOff>31751</xdr:colOff>
      <xdr:row>94</xdr:row>
      <xdr:rowOff>32808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10583</xdr:colOff>
      <xdr:row>95</xdr:row>
      <xdr:rowOff>20108</xdr:rowOff>
    </xdr:from>
    <xdr:to>
      <xdr:col>13</xdr:col>
      <xdr:colOff>10583</xdr:colOff>
      <xdr:row>109</xdr:row>
      <xdr:rowOff>96308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topLeftCell="A22" workbookViewId="0">
      <selection activeCell="A23" sqref="A23"/>
    </sheetView>
  </sheetViews>
  <sheetFormatPr baseColWidth="10" defaultRowHeight="15" x14ac:dyDescent="0.25"/>
  <cols>
    <col min="1" max="1" width="55.140625" customWidth="1"/>
    <col min="2" max="2" width="15.140625" bestFit="1" customWidth="1"/>
    <col min="3" max="3" width="13.85546875" customWidth="1"/>
    <col min="4" max="4" width="20.7109375" customWidth="1"/>
    <col min="5" max="5" width="13.7109375" customWidth="1"/>
    <col min="6" max="6" width="15.140625" bestFit="1" customWidth="1"/>
    <col min="7" max="7" width="13.7109375" bestFit="1" customWidth="1"/>
  </cols>
  <sheetData>
    <row r="2" spans="1:7" ht="15.75" x14ac:dyDescent="0.25">
      <c r="A2" s="33" t="s">
        <v>77</v>
      </c>
      <c r="B2" s="33"/>
      <c r="C2" s="33"/>
      <c r="D2" s="33"/>
      <c r="E2" s="33"/>
      <c r="F2" s="33"/>
    </row>
    <row r="4" spans="1:7" ht="15" customHeight="1" x14ac:dyDescent="0.25">
      <c r="A4" s="34" t="s">
        <v>0</v>
      </c>
      <c r="B4" s="36" t="s">
        <v>1</v>
      </c>
      <c r="C4" s="36" t="s">
        <v>44</v>
      </c>
      <c r="D4" s="38" t="s">
        <v>2</v>
      </c>
      <c r="E4" s="38"/>
      <c r="F4" s="38"/>
    </row>
    <row r="5" spans="1:7" ht="15.75" thickBot="1" x14ac:dyDescent="0.3">
      <c r="A5" s="35"/>
      <c r="B5" s="37"/>
      <c r="C5" s="37"/>
      <c r="D5" s="1" t="s">
        <v>3</v>
      </c>
      <c r="E5" s="2" t="s">
        <v>4</v>
      </c>
      <c r="F5" s="2" t="s">
        <v>5</v>
      </c>
    </row>
    <row r="6" spans="1:7" ht="15.75" thickTop="1" x14ac:dyDescent="0.25"/>
    <row r="7" spans="1:7" x14ac:dyDescent="0.25">
      <c r="A7" s="3" t="s">
        <v>6</v>
      </c>
    </row>
    <row r="8" spans="1:7" x14ac:dyDescent="0.25">
      <c r="B8" s="4"/>
      <c r="C8" s="4"/>
      <c r="D8" s="4"/>
      <c r="E8" s="4"/>
      <c r="F8" s="4"/>
      <c r="G8" s="4"/>
    </row>
    <row r="9" spans="1:7" x14ac:dyDescent="0.25">
      <c r="A9" t="s">
        <v>7</v>
      </c>
      <c r="B9" s="4"/>
      <c r="C9" s="4"/>
      <c r="D9" s="4"/>
      <c r="E9" s="4"/>
      <c r="F9" s="4"/>
      <c r="G9" s="4"/>
    </row>
    <row r="10" spans="1:7" x14ac:dyDescent="0.25">
      <c r="A10" s="5" t="s">
        <v>40</v>
      </c>
      <c r="B10" s="13">
        <v>405</v>
      </c>
      <c r="C10" s="13">
        <v>259.66666666666669</v>
      </c>
      <c r="D10" s="6"/>
      <c r="E10" s="6"/>
      <c r="F10" s="6"/>
      <c r="G10" s="4"/>
    </row>
    <row r="11" spans="1:7" x14ac:dyDescent="0.25">
      <c r="A11" s="5" t="s">
        <v>78</v>
      </c>
      <c r="B11" s="13">
        <v>450</v>
      </c>
      <c r="C11" s="13">
        <f>(450+450)/3</f>
        <v>300</v>
      </c>
      <c r="D11" s="6"/>
      <c r="E11" s="6"/>
      <c r="F11" s="6"/>
      <c r="G11" s="4"/>
    </row>
    <row r="12" spans="1:7" x14ac:dyDescent="0.25">
      <c r="A12" s="5" t="s">
        <v>79</v>
      </c>
      <c r="B12" s="13">
        <v>420</v>
      </c>
      <c r="C12" s="13">
        <v>271</v>
      </c>
      <c r="D12" s="4"/>
    </row>
    <row r="13" spans="1:7" x14ac:dyDescent="0.25">
      <c r="A13" s="5" t="s">
        <v>80</v>
      </c>
      <c r="B13" s="13">
        <v>450</v>
      </c>
      <c r="C13" s="13">
        <v>450</v>
      </c>
      <c r="D13" s="6"/>
      <c r="E13" s="6"/>
      <c r="F13" s="6"/>
      <c r="G13" s="4"/>
    </row>
    <row r="14" spans="1:7" x14ac:dyDescent="0.25">
      <c r="B14" s="6"/>
      <c r="C14" s="6"/>
      <c r="D14" s="6"/>
      <c r="E14" s="6"/>
      <c r="F14" s="6"/>
      <c r="G14" s="4"/>
    </row>
    <row r="15" spans="1:7" x14ac:dyDescent="0.25">
      <c r="A15" s="7" t="s">
        <v>9</v>
      </c>
      <c r="B15" s="6"/>
      <c r="C15" s="6"/>
      <c r="D15" s="6"/>
      <c r="E15" s="6"/>
      <c r="F15" s="6"/>
      <c r="G15" s="4"/>
    </row>
    <row r="16" spans="1:7" x14ac:dyDescent="0.25">
      <c r="A16" s="5" t="s">
        <v>40</v>
      </c>
      <c r="B16" s="27">
        <v>125158995.56</v>
      </c>
      <c r="C16" s="27">
        <f>B16/3</f>
        <v>41719665.186666667</v>
      </c>
      <c r="D16" s="27">
        <v>9999476.5399999991</v>
      </c>
      <c r="E16" s="27">
        <v>112480105.02</v>
      </c>
      <c r="F16" s="27">
        <v>2679414</v>
      </c>
      <c r="G16" s="4"/>
    </row>
    <row r="17" spans="1:8" x14ac:dyDescent="0.25">
      <c r="A17" s="5" t="s">
        <v>78</v>
      </c>
      <c r="B17" s="27">
        <f>SUM(D17:F17)</f>
        <v>376325728.62</v>
      </c>
      <c r="C17" s="27">
        <f t="shared" ref="C17:C19" si="0">B17/3</f>
        <v>125441909.54000001</v>
      </c>
      <c r="D17" s="27">
        <v>240000000</v>
      </c>
      <c r="E17" s="27">
        <v>7700000</v>
      </c>
      <c r="F17" s="27">
        <v>128625728.62</v>
      </c>
      <c r="G17" s="4"/>
    </row>
    <row r="18" spans="1:8" x14ac:dyDescent="0.25">
      <c r="A18" s="5" t="s">
        <v>79</v>
      </c>
      <c r="B18" s="27">
        <f>SUM(D18:F18)</f>
        <v>147442194.56</v>
      </c>
      <c r="C18" s="27">
        <f t="shared" si="0"/>
        <v>49147398.186666667</v>
      </c>
      <c r="D18" s="27">
        <v>11823986.74</v>
      </c>
      <c r="E18" s="28">
        <v>8247780</v>
      </c>
      <c r="F18" s="27">
        <v>127370427.81999999</v>
      </c>
      <c r="G18" s="4"/>
    </row>
    <row r="19" spans="1:8" x14ac:dyDescent="0.25">
      <c r="A19" s="5" t="s">
        <v>80</v>
      </c>
      <c r="B19" s="27">
        <f>SUM(D19:F19)</f>
        <v>1449206627.6199999</v>
      </c>
      <c r="C19" s="27">
        <f t="shared" si="0"/>
        <v>483068875.87333328</v>
      </c>
      <c r="D19" s="27">
        <v>1200000000</v>
      </c>
      <c r="E19" s="27">
        <v>120580899</v>
      </c>
      <c r="F19" s="27">
        <v>128625728.62</v>
      </c>
      <c r="G19" s="4"/>
    </row>
    <row r="20" spans="1:8" x14ac:dyDescent="0.25">
      <c r="A20" s="5" t="s">
        <v>81</v>
      </c>
      <c r="B20" s="6"/>
      <c r="C20" s="6"/>
      <c r="D20" s="6"/>
      <c r="E20" s="6"/>
      <c r="F20" s="6"/>
      <c r="G20" s="4"/>
    </row>
    <row r="21" spans="1:8" x14ac:dyDescent="0.25">
      <c r="B21" s="6"/>
      <c r="C21" s="6"/>
      <c r="D21" s="6"/>
      <c r="E21" s="6"/>
      <c r="F21" s="6"/>
      <c r="G21" s="4"/>
    </row>
    <row r="22" spans="1:8" x14ac:dyDescent="0.25">
      <c r="A22" s="5" t="s">
        <v>10</v>
      </c>
      <c r="B22" s="6"/>
      <c r="C22" s="6"/>
      <c r="D22" s="6"/>
      <c r="E22" s="6"/>
      <c r="F22" s="6"/>
      <c r="G22" s="4"/>
    </row>
    <row r="23" spans="1:8" x14ac:dyDescent="0.25">
      <c r="A23" s="5" t="s">
        <v>78</v>
      </c>
      <c r="B23" s="13">
        <f>B17</f>
        <v>376325728.62</v>
      </c>
      <c r="C23" s="6"/>
      <c r="D23" s="6"/>
      <c r="E23" s="6"/>
      <c r="F23" s="6"/>
      <c r="G23" s="4"/>
      <c r="H23" s="8"/>
    </row>
    <row r="24" spans="1:8" x14ac:dyDescent="0.25">
      <c r="A24" s="5" t="s">
        <v>79</v>
      </c>
      <c r="B24" s="13">
        <v>18992380</v>
      </c>
      <c r="C24" s="6"/>
      <c r="D24" s="6"/>
      <c r="E24" s="6"/>
      <c r="F24" s="6"/>
      <c r="G24" s="4"/>
      <c r="H24" s="8"/>
    </row>
    <row r="25" spans="1:8" x14ac:dyDescent="0.25">
      <c r="B25" s="6"/>
      <c r="C25" s="6"/>
      <c r="D25" s="6"/>
      <c r="E25" s="6"/>
      <c r="F25" s="6"/>
      <c r="G25" s="4"/>
    </row>
    <row r="26" spans="1:8" x14ac:dyDescent="0.25">
      <c r="A26" t="s">
        <v>11</v>
      </c>
      <c r="B26" s="6"/>
      <c r="C26" s="6"/>
      <c r="D26" s="6"/>
      <c r="E26" s="6"/>
      <c r="F26" s="6"/>
      <c r="G26" s="4"/>
    </row>
    <row r="27" spans="1:8" x14ac:dyDescent="0.25">
      <c r="A27" t="s">
        <v>41</v>
      </c>
      <c r="B27" s="6">
        <v>1.4459435845999999</v>
      </c>
      <c r="C27" s="6">
        <v>1.4459435845999999</v>
      </c>
      <c r="D27" s="6">
        <v>1.4459435845999999</v>
      </c>
      <c r="E27" s="6">
        <v>1.4459435845999999</v>
      </c>
      <c r="F27" s="6">
        <v>1.4459435845999999</v>
      </c>
      <c r="G27" s="4"/>
    </row>
    <row r="28" spans="1:8" x14ac:dyDescent="0.25">
      <c r="A28" t="s">
        <v>82</v>
      </c>
      <c r="B28" s="6">
        <v>1.5060713566999999</v>
      </c>
      <c r="C28" s="6">
        <v>1.5060713566999999</v>
      </c>
      <c r="D28" s="6">
        <v>1.5060713566999999</v>
      </c>
      <c r="E28" s="6">
        <v>1.5060713566999999</v>
      </c>
      <c r="F28" s="6">
        <v>1.5060713566999999</v>
      </c>
      <c r="G28" s="4"/>
    </row>
    <row r="29" spans="1:8" x14ac:dyDescent="0.25">
      <c r="A29" t="s">
        <v>13</v>
      </c>
      <c r="B29" s="45"/>
      <c r="C29" s="45"/>
      <c r="D29" s="45"/>
      <c r="E29" s="45"/>
      <c r="F29" s="45"/>
      <c r="G29" s="4"/>
    </row>
    <row r="30" spans="1:8" x14ac:dyDescent="0.25">
      <c r="B30" s="6"/>
      <c r="C30" s="6"/>
      <c r="D30" s="6"/>
      <c r="E30" s="6"/>
      <c r="F30" s="6"/>
      <c r="G30" s="4"/>
    </row>
    <row r="31" spans="1:8" x14ac:dyDescent="0.25">
      <c r="A31" t="s">
        <v>14</v>
      </c>
      <c r="B31" s="6"/>
      <c r="C31" s="6"/>
      <c r="D31" s="6"/>
      <c r="E31" s="6"/>
      <c r="F31" s="6"/>
      <c r="G31" s="4"/>
    </row>
    <row r="32" spans="1:8" x14ac:dyDescent="0.25">
      <c r="A32" t="s">
        <v>42</v>
      </c>
      <c r="B32" s="27">
        <f>B16/B27</f>
        <v>86558699.034321934</v>
      </c>
      <c r="C32" s="27">
        <f>C16/C27</f>
        <v>28852899.67810731</v>
      </c>
      <c r="D32" s="27"/>
      <c r="E32" s="27"/>
      <c r="F32" s="27"/>
      <c r="G32" s="6"/>
    </row>
    <row r="33" spans="1:7" x14ac:dyDescent="0.25">
      <c r="A33" t="s">
        <v>83</v>
      </c>
      <c r="B33" s="27">
        <f>B18/B28</f>
        <v>97898545.048400104</v>
      </c>
      <c r="C33" s="27">
        <f>C18/C28</f>
        <v>32632848.3494667</v>
      </c>
      <c r="D33" s="27">
        <f>D18/D28</f>
        <v>7850880.8280557888</v>
      </c>
      <c r="E33" s="27">
        <f>E18/E28</f>
        <v>5476354.0673610372</v>
      </c>
      <c r="F33" s="27">
        <f t="shared" ref="F33" si="1">F18/F28</f>
        <v>84571310.152983278</v>
      </c>
      <c r="G33" s="4"/>
    </row>
    <row r="34" spans="1:7" x14ac:dyDescent="0.25">
      <c r="A34" t="s">
        <v>43</v>
      </c>
      <c r="B34" s="27">
        <f>B32/B10</f>
        <v>213725.18280079489</v>
      </c>
      <c r="C34" s="27">
        <f>C32/C10</f>
        <v>111115.14638552237</v>
      </c>
      <c r="D34" s="27"/>
      <c r="E34" s="27"/>
      <c r="F34" s="27"/>
      <c r="G34" s="4"/>
    </row>
    <row r="35" spans="1:7" x14ac:dyDescent="0.25">
      <c r="A35" t="s">
        <v>84</v>
      </c>
      <c r="B35" s="27">
        <f>B33/B12</f>
        <v>233091.77392476215</v>
      </c>
      <c r="C35" s="27">
        <f>C33/C12</f>
        <v>120416.41457367786</v>
      </c>
      <c r="D35" s="29"/>
      <c r="E35" s="29"/>
      <c r="F35" s="29"/>
    </row>
    <row r="36" spans="1:7" x14ac:dyDescent="0.25">
      <c r="B36" s="6"/>
      <c r="C36" s="6"/>
      <c r="D36" s="6"/>
      <c r="E36" s="6"/>
      <c r="F36" s="6"/>
      <c r="G36" s="4"/>
    </row>
    <row r="37" spans="1:7" x14ac:dyDescent="0.25">
      <c r="A37" s="3" t="s">
        <v>17</v>
      </c>
      <c r="B37" s="6"/>
      <c r="C37" s="6"/>
      <c r="D37" s="6"/>
      <c r="E37" s="6"/>
      <c r="F37" s="6"/>
      <c r="G37" s="4"/>
    </row>
    <row r="38" spans="1:7" x14ac:dyDescent="0.25">
      <c r="B38" s="6"/>
      <c r="C38" s="6"/>
      <c r="D38" s="6"/>
      <c r="E38" s="6"/>
      <c r="F38" s="6"/>
      <c r="G38" s="4"/>
    </row>
    <row r="39" spans="1:7" x14ac:dyDescent="0.25">
      <c r="A39" t="s">
        <v>18</v>
      </c>
      <c r="B39" s="6"/>
      <c r="C39" s="6"/>
      <c r="D39" s="6"/>
      <c r="E39" s="6"/>
      <c r="F39" s="6"/>
      <c r="G39" s="4"/>
    </row>
    <row r="40" spans="1:7" x14ac:dyDescent="0.25">
      <c r="A40" t="s">
        <v>19</v>
      </c>
      <c r="B40" s="6" t="s">
        <v>130</v>
      </c>
      <c r="C40" s="6" t="s">
        <v>130</v>
      </c>
      <c r="D40" s="6" t="s">
        <v>130</v>
      </c>
      <c r="E40" s="6" t="s">
        <v>130</v>
      </c>
      <c r="F40" s="6" t="s">
        <v>130</v>
      </c>
      <c r="G40" s="4"/>
    </row>
    <row r="41" spans="1:7" x14ac:dyDescent="0.25">
      <c r="A41" t="s">
        <v>20</v>
      </c>
      <c r="B41" s="6" t="s">
        <v>130</v>
      </c>
      <c r="C41" s="6" t="s">
        <v>130</v>
      </c>
      <c r="D41" s="6" t="s">
        <v>130</v>
      </c>
      <c r="E41" s="6" t="s">
        <v>130</v>
      </c>
      <c r="F41" s="6" t="s">
        <v>130</v>
      </c>
      <c r="G41" s="4"/>
    </row>
    <row r="42" spans="1:7" x14ac:dyDescent="0.25">
      <c r="B42" s="6"/>
      <c r="C42" s="6"/>
      <c r="D42" s="6"/>
      <c r="E42" s="6"/>
      <c r="F42" s="6"/>
      <c r="G42" s="4"/>
    </row>
    <row r="43" spans="1:7" x14ac:dyDescent="0.25">
      <c r="A43" t="s">
        <v>21</v>
      </c>
      <c r="B43" s="6"/>
      <c r="C43" s="6"/>
      <c r="D43" s="6"/>
      <c r="E43" s="6"/>
      <c r="F43" s="6"/>
      <c r="G43" s="4"/>
    </row>
    <row r="44" spans="1:7" x14ac:dyDescent="0.25">
      <c r="A44" t="s">
        <v>22</v>
      </c>
      <c r="B44" s="6">
        <f>B12/B11*100</f>
        <v>93.333333333333329</v>
      </c>
      <c r="C44" s="6">
        <f>C12/C11*100</f>
        <v>90.333333333333329</v>
      </c>
      <c r="D44" s="6"/>
      <c r="E44" s="6"/>
      <c r="F44" s="6"/>
      <c r="G44" s="4"/>
    </row>
    <row r="45" spans="1:7" x14ac:dyDescent="0.25">
      <c r="A45" t="s">
        <v>23</v>
      </c>
      <c r="B45" s="6">
        <f>B18/B17*100</f>
        <v>39.179408514181539</v>
      </c>
      <c r="C45" s="6">
        <f>C18/C17*100</f>
        <v>39.179408514181539</v>
      </c>
      <c r="D45" s="6">
        <f>D18/D17*100</f>
        <v>4.926661141666667</v>
      </c>
      <c r="E45" s="6">
        <f t="shared" ref="E45" si="2">E18/E17*100</f>
        <v>107.11402597402598</v>
      </c>
      <c r="F45" s="6">
        <f>F18/F17*100</f>
        <v>99.024067102695639</v>
      </c>
      <c r="G45" s="4"/>
    </row>
    <row r="46" spans="1:7" x14ac:dyDescent="0.25">
      <c r="A46" t="s">
        <v>24</v>
      </c>
      <c r="B46" s="6">
        <f>AVERAGE(B44:B45)</f>
        <v>66.25637092375743</v>
      </c>
      <c r="C46" s="6">
        <f>AVERAGE(C44:C45)</f>
        <v>64.75637092375743</v>
      </c>
      <c r="D46" s="6"/>
      <c r="E46" s="6"/>
      <c r="F46" s="6"/>
      <c r="G46" s="4"/>
    </row>
    <row r="47" spans="1:7" x14ac:dyDescent="0.25">
      <c r="B47" s="6"/>
      <c r="C47" s="6"/>
      <c r="D47" s="6"/>
      <c r="E47" s="6"/>
      <c r="F47" s="6"/>
      <c r="G47" s="4"/>
    </row>
    <row r="48" spans="1:7" x14ac:dyDescent="0.25">
      <c r="A48" t="s">
        <v>25</v>
      </c>
      <c r="B48" s="6"/>
      <c r="C48" s="6"/>
      <c r="D48" s="6"/>
      <c r="E48" s="6"/>
      <c r="F48" s="6"/>
      <c r="G48" s="4"/>
    </row>
    <row r="49" spans="1:7" x14ac:dyDescent="0.25">
      <c r="A49" t="s">
        <v>26</v>
      </c>
      <c r="B49" s="6">
        <f>(B12*3)/(B13*12)*100</f>
        <v>23.333333333333332</v>
      </c>
      <c r="C49" s="6">
        <f>(C12*3)/(C13*12)*100</f>
        <v>15.055555555555555</v>
      </c>
      <c r="D49" s="6"/>
      <c r="E49" s="6"/>
      <c r="F49" s="6"/>
      <c r="G49" s="4"/>
    </row>
    <row r="50" spans="1:7" x14ac:dyDescent="0.25">
      <c r="A50" t="s">
        <v>27</v>
      </c>
      <c r="B50" s="6">
        <f>B18/B19*100</f>
        <v>10.173993946062824</v>
      </c>
      <c r="C50" s="6">
        <f>C18/C19*100</f>
        <v>10.173993946062824</v>
      </c>
      <c r="D50" s="6">
        <f>D18/D19*100</f>
        <v>0.98533222833333334</v>
      </c>
      <c r="E50" s="6">
        <f t="shared" ref="E50:F50" si="3">E18/E19*100</f>
        <v>6.8400385702879856</v>
      </c>
      <c r="F50" s="6">
        <f t="shared" si="3"/>
        <v>99.024067102695639</v>
      </c>
      <c r="G50" s="4"/>
    </row>
    <row r="51" spans="1:7" x14ac:dyDescent="0.25">
      <c r="A51" t="s">
        <v>28</v>
      </c>
      <c r="B51" s="6">
        <f>(B49+B50)/2</f>
        <v>16.753663639698079</v>
      </c>
      <c r="C51" s="6">
        <f>(C49+C50)/2</f>
        <v>12.61477475080919</v>
      </c>
      <c r="D51" s="6"/>
      <c r="E51" s="6"/>
      <c r="F51" s="6"/>
      <c r="G51" s="4"/>
    </row>
    <row r="52" spans="1:7" x14ac:dyDescent="0.25">
      <c r="B52" s="6"/>
      <c r="C52" s="6"/>
      <c r="D52" s="6"/>
      <c r="E52" s="6"/>
      <c r="F52" s="6"/>
      <c r="G52" s="4"/>
    </row>
    <row r="53" spans="1:7" x14ac:dyDescent="0.25">
      <c r="A53" t="s">
        <v>65</v>
      </c>
      <c r="B53" s="6"/>
      <c r="C53" s="6"/>
      <c r="D53" s="6"/>
      <c r="E53" s="6"/>
      <c r="F53" s="6"/>
      <c r="G53" s="4"/>
    </row>
    <row r="54" spans="1:7" x14ac:dyDescent="0.25">
      <c r="A54" t="s">
        <v>29</v>
      </c>
      <c r="B54" s="6">
        <f>B20/B18*100</f>
        <v>0</v>
      </c>
      <c r="C54" s="6">
        <f>C20/C18*100</f>
        <v>0</v>
      </c>
      <c r="D54" s="6">
        <f t="shared" ref="D54:F54" si="4">D20/D18*100</f>
        <v>0</v>
      </c>
      <c r="E54" s="6">
        <f t="shared" si="4"/>
        <v>0</v>
      </c>
      <c r="F54" s="6">
        <f t="shared" si="4"/>
        <v>0</v>
      </c>
      <c r="G54" s="4"/>
    </row>
    <row r="55" spans="1:7" x14ac:dyDescent="0.25">
      <c r="B55" s="6"/>
      <c r="C55" s="6"/>
      <c r="D55" s="6"/>
      <c r="E55" s="6"/>
      <c r="F55" s="6"/>
      <c r="G55" s="4"/>
    </row>
    <row r="56" spans="1:7" x14ac:dyDescent="0.25">
      <c r="A56" t="s">
        <v>30</v>
      </c>
      <c r="B56" s="6"/>
      <c r="C56" s="6"/>
      <c r="D56" s="6"/>
      <c r="E56" s="6"/>
      <c r="F56" s="6"/>
      <c r="G56" s="4"/>
    </row>
    <row r="57" spans="1:7" x14ac:dyDescent="0.25">
      <c r="A57" t="s">
        <v>31</v>
      </c>
      <c r="B57" s="6">
        <f>((B12/B10)-1)*100</f>
        <v>3.7037037037036979</v>
      </c>
      <c r="C57" s="6">
        <f>((C12/C10)-1)*100</f>
        <v>4.3645699614890843</v>
      </c>
      <c r="D57" s="6"/>
      <c r="E57" s="6"/>
      <c r="F57" s="6"/>
      <c r="G57" s="4"/>
    </row>
    <row r="58" spans="1:7" x14ac:dyDescent="0.25">
      <c r="A58" t="s">
        <v>32</v>
      </c>
      <c r="B58" s="6">
        <f>((B33/B32)-1)*100</f>
        <v>13.100758376210964</v>
      </c>
      <c r="C58" s="6">
        <f>((C33/C32)-1)*100</f>
        <v>13.100758376210964</v>
      </c>
      <c r="D58" s="6"/>
      <c r="E58" s="6"/>
      <c r="F58" s="6"/>
      <c r="G58" s="4"/>
    </row>
    <row r="59" spans="1:7" x14ac:dyDescent="0.25">
      <c r="A59" t="s">
        <v>33</v>
      </c>
      <c r="B59" s="6">
        <f>((B35/B34)-1)*100</f>
        <v>9.0614455770605673</v>
      </c>
      <c r="C59" s="6">
        <f>((C35/C34)-1)*100</f>
        <v>8.3708373617076717</v>
      </c>
      <c r="D59" s="6"/>
      <c r="E59" s="6"/>
      <c r="F59" s="6"/>
      <c r="G59" s="4"/>
    </row>
    <row r="60" spans="1:7" x14ac:dyDescent="0.25">
      <c r="B60" s="6"/>
      <c r="C60" s="6"/>
      <c r="D60" s="6"/>
      <c r="E60" s="6"/>
      <c r="F60" s="6"/>
      <c r="G60" s="4"/>
    </row>
    <row r="61" spans="1:7" x14ac:dyDescent="0.25">
      <c r="A61" t="s">
        <v>34</v>
      </c>
      <c r="B61" s="6"/>
      <c r="C61" s="6"/>
      <c r="D61" s="6"/>
      <c r="E61" s="6"/>
      <c r="F61" s="6"/>
      <c r="G61" s="4"/>
    </row>
    <row r="62" spans="1:7" x14ac:dyDescent="0.25">
      <c r="A62" t="s">
        <v>66</v>
      </c>
      <c r="B62" s="6">
        <f>B17/(C11*3)</f>
        <v>418139.69846666668</v>
      </c>
      <c r="C62" s="6"/>
      <c r="D62" s="6"/>
      <c r="E62" s="6"/>
      <c r="F62" s="6"/>
      <c r="G62" s="4"/>
    </row>
    <row r="63" spans="1:7" x14ac:dyDescent="0.25">
      <c r="A63" t="s">
        <v>67</v>
      </c>
      <c r="B63" s="6">
        <f>B18/(C12*3)</f>
        <v>181355.71286592865</v>
      </c>
      <c r="C63" s="6"/>
      <c r="D63" s="4"/>
    </row>
    <row r="64" spans="1:7" x14ac:dyDescent="0.25">
      <c r="A64" s="16" t="s">
        <v>35</v>
      </c>
      <c r="B64" s="6">
        <f>(B62/B63)*B46</f>
        <v>152.76286873872385</v>
      </c>
      <c r="C64" s="6"/>
      <c r="D64" s="6"/>
      <c r="E64" s="6"/>
      <c r="F64" s="6"/>
      <c r="G64" s="4"/>
    </row>
    <row r="65" spans="1:8" x14ac:dyDescent="0.25">
      <c r="A65" s="14" t="s">
        <v>68</v>
      </c>
      <c r="B65" s="6">
        <f>B17/C11</f>
        <v>1254419.0954</v>
      </c>
      <c r="C65" s="6"/>
      <c r="D65" s="6"/>
      <c r="E65" s="6"/>
      <c r="F65" s="6"/>
      <c r="G65" s="4"/>
    </row>
    <row r="66" spans="1:8" x14ac:dyDescent="0.25">
      <c r="A66" s="14" t="s">
        <v>69</v>
      </c>
      <c r="B66" s="6">
        <f>B18/C12</f>
        <v>544067.13859778596</v>
      </c>
      <c r="C66" s="6"/>
      <c r="D66" s="6"/>
      <c r="E66" s="6"/>
      <c r="F66" s="6"/>
      <c r="G66" s="4"/>
    </row>
    <row r="67" spans="1:8" x14ac:dyDescent="0.25">
      <c r="B67" s="6"/>
      <c r="C67" s="6"/>
      <c r="D67" s="6"/>
      <c r="E67" s="6"/>
      <c r="F67" s="6"/>
      <c r="G67" s="4"/>
    </row>
    <row r="68" spans="1:8" x14ac:dyDescent="0.25">
      <c r="A68" t="s">
        <v>36</v>
      </c>
      <c r="B68" s="6"/>
      <c r="C68" s="6"/>
      <c r="D68" s="6"/>
      <c r="E68" s="6"/>
      <c r="F68" s="6"/>
      <c r="G68" s="4"/>
    </row>
    <row r="69" spans="1:8" x14ac:dyDescent="0.25">
      <c r="A69" t="s">
        <v>37</v>
      </c>
      <c r="B69" s="6">
        <f>(B24/B23)*100</f>
        <v>5.0467928593789591</v>
      </c>
      <c r="C69" s="6"/>
      <c r="D69" s="6"/>
      <c r="E69" s="6"/>
      <c r="F69" s="6"/>
      <c r="G69" s="4"/>
      <c r="H69" s="8"/>
    </row>
    <row r="70" spans="1:8" x14ac:dyDescent="0.25">
      <c r="A70" t="s">
        <v>38</v>
      </c>
      <c r="B70" s="6">
        <f>(B18/B24)*100</f>
        <v>776.32289665644851</v>
      </c>
      <c r="C70" s="6"/>
      <c r="D70" s="6"/>
      <c r="E70" s="6"/>
      <c r="F70" s="6"/>
      <c r="G70" s="4"/>
      <c r="H70" s="8"/>
    </row>
    <row r="71" spans="1:8" ht="15.75" thickBot="1" x14ac:dyDescent="0.3">
      <c r="A71" s="9"/>
      <c r="B71" s="9"/>
      <c r="C71" s="9"/>
      <c r="D71" s="9"/>
      <c r="E71" s="9"/>
      <c r="F71" s="9"/>
    </row>
    <row r="72" spans="1:8" ht="15.75" thickTop="1" x14ac:dyDescent="0.25"/>
    <row r="73" spans="1:8" x14ac:dyDescent="0.25">
      <c r="A73" s="10" t="s">
        <v>39</v>
      </c>
    </row>
    <row r="74" spans="1:8" x14ac:dyDescent="0.25">
      <c r="A74" s="10" t="s">
        <v>85</v>
      </c>
    </row>
    <row r="75" spans="1:8" x14ac:dyDescent="0.25">
      <c r="A75" s="11" t="s">
        <v>86</v>
      </c>
      <c r="B75" s="12"/>
      <c r="C75" s="12"/>
      <c r="D75" s="12"/>
      <c r="E75" s="12"/>
    </row>
    <row r="76" spans="1:8" x14ac:dyDescent="0.25">
      <c r="A76" s="11" t="s">
        <v>74</v>
      </c>
      <c r="B76" s="12"/>
      <c r="C76" s="12"/>
      <c r="D76" s="12"/>
      <c r="E76" s="12"/>
    </row>
    <row r="77" spans="1:8" x14ac:dyDescent="0.25">
      <c r="A77" t="s">
        <v>129</v>
      </c>
    </row>
    <row r="78" spans="1:8" x14ac:dyDescent="0.25">
      <c r="A78" s="15" t="s">
        <v>75</v>
      </c>
    </row>
    <row r="79" spans="1:8" x14ac:dyDescent="0.25">
      <c r="A79" s="15" t="s">
        <v>76</v>
      </c>
    </row>
  </sheetData>
  <mergeCells count="5">
    <mergeCell ref="A2:F2"/>
    <mergeCell ref="A4:A5"/>
    <mergeCell ref="B4:B5"/>
    <mergeCell ref="C4:C5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workbookViewId="0">
      <selection activeCell="I28" sqref="I28"/>
    </sheetView>
  </sheetViews>
  <sheetFormatPr baseColWidth="10" defaultRowHeight="15" x14ac:dyDescent="0.25"/>
  <cols>
    <col min="1" max="1" width="55.140625" customWidth="1"/>
    <col min="2" max="2" width="13.85546875" bestFit="1" customWidth="1"/>
    <col min="3" max="3" width="13.85546875" customWidth="1"/>
    <col min="4" max="4" width="20.7109375" customWidth="1"/>
    <col min="5" max="5" width="13.7109375" customWidth="1"/>
    <col min="6" max="7" width="13.7109375" bestFit="1" customWidth="1"/>
  </cols>
  <sheetData>
    <row r="2" spans="1:7" ht="15.75" x14ac:dyDescent="0.25">
      <c r="A2" s="33" t="s">
        <v>87</v>
      </c>
      <c r="B2" s="33"/>
      <c r="C2" s="33"/>
      <c r="D2" s="33"/>
      <c r="E2" s="33"/>
      <c r="F2" s="33"/>
    </row>
    <row r="4" spans="1:7" ht="15" customHeight="1" x14ac:dyDescent="0.25">
      <c r="A4" s="34" t="s">
        <v>0</v>
      </c>
      <c r="B4" s="36" t="s">
        <v>1</v>
      </c>
      <c r="C4" s="36" t="s">
        <v>44</v>
      </c>
      <c r="D4" s="38" t="s">
        <v>2</v>
      </c>
      <c r="E4" s="38"/>
      <c r="F4" s="38"/>
    </row>
    <row r="5" spans="1:7" ht="15.75" thickBot="1" x14ac:dyDescent="0.3">
      <c r="A5" s="35"/>
      <c r="B5" s="37"/>
      <c r="C5" s="37"/>
      <c r="D5" s="1" t="s">
        <v>3</v>
      </c>
      <c r="E5" s="2" t="s">
        <v>4</v>
      </c>
      <c r="F5" s="2" t="s">
        <v>5</v>
      </c>
    </row>
    <row r="6" spans="1:7" ht="15.75" thickTop="1" x14ac:dyDescent="0.25"/>
    <row r="7" spans="1:7" x14ac:dyDescent="0.25">
      <c r="A7" s="3" t="s">
        <v>6</v>
      </c>
    </row>
    <row r="8" spans="1:7" x14ac:dyDescent="0.25">
      <c r="B8" s="4"/>
      <c r="C8" s="4"/>
      <c r="D8" s="4"/>
      <c r="E8" s="4"/>
      <c r="F8" s="4"/>
      <c r="G8" s="4"/>
    </row>
    <row r="9" spans="1:7" x14ac:dyDescent="0.25">
      <c r="A9" t="s">
        <v>7</v>
      </c>
      <c r="B9" s="4"/>
      <c r="C9" s="4"/>
      <c r="D9" s="4"/>
      <c r="E9" s="4"/>
      <c r="F9" s="4"/>
      <c r="G9" s="4"/>
    </row>
    <row r="10" spans="1:7" x14ac:dyDescent="0.25">
      <c r="A10" s="5" t="s">
        <v>45</v>
      </c>
      <c r="B10" s="13">
        <v>364</v>
      </c>
      <c r="C10" s="13">
        <v>351.66666666666669</v>
      </c>
      <c r="D10" s="6"/>
      <c r="E10" s="6"/>
      <c r="F10" s="6"/>
      <c r="G10" s="4"/>
    </row>
    <row r="11" spans="1:7" x14ac:dyDescent="0.25">
      <c r="A11" s="5" t="s">
        <v>88</v>
      </c>
      <c r="B11" s="13">
        <v>400</v>
      </c>
      <c r="C11" s="13">
        <f>(450+400+400)/3</f>
        <v>416.66666666666669</v>
      </c>
      <c r="D11" s="6"/>
      <c r="E11" s="6"/>
      <c r="F11" s="6"/>
      <c r="G11" s="4"/>
    </row>
    <row r="12" spans="1:7" x14ac:dyDescent="0.25">
      <c r="A12" s="5" t="s">
        <v>89</v>
      </c>
      <c r="B12" s="13">
        <v>376</v>
      </c>
      <c r="C12" s="13">
        <v>365</v>
      </c>
      <c r="D12" s="4"/>
    </row>
    <row r="13" spans="1:7" x14ac:dyDescent="0.25">
      <c r="A13" s="5" t="s">
        <v>80</v>
      </c>
      <c r="B13" s="13">
        <v>400</v>
      </c>
      <c r="C13" s="13">
        <v>400</v>
      </c>
      <c r="D13" s="6"/>
      <c r="E13" s="6"/>
      <c r="F13" s="6"/>
      <c r="G13" s="4"/>
    </row>
    <row r="14" spans="1:7" x14ac:dyDescent="0.25">
      <c r="B14" s="6"/>
      <c r="C14" s="6"/>
      <c r="D14" s="6"/>
      <c r="E14" s="6"/>
      <c r="F14" s="6"/>
      <c r="G14" s="4"/>
    </row>
    <row r="15" spans="1:7" x14ac:dyDescent="0.25">
      <c r="A15" s="7" t="s">
        <v>9</v>
      </c>
      <c r="B15" s="6"/>
      <c r="C15" s="6"/>
      <c r="D15" s="6"/>
      <c r="E15" s="6"/>
      <c r="F15" s="6"/>
      <c r="G15" s="4"/>
    </row>
    <row r="16" spans="1:7" x14ac:dyDescent="0.25">
      <c r="A16" s="5" t="s">
        <v>45</v>
      </c>
      <c r="B16" s="13">
        <f>SUM(D16:F16)</f>
        <v>47090635.379999995</v>
      </c>
      <c r="C16" s="13">
        <f>B16/3</f>
        <v>15696878.459999999</v>
      </c>
      <c r="D16" s="13">
        <v>39975913.689999998</v>
      </c>
      <c r="E16" s="13">
        <v>2110429.25</v>
      </c>
      <c r="F16" s="13">
        <v>5004292.4400000004</v>
      </c>
      <c r="G16" s="4"/>
    </row>
    <row r="17" spans="1:8" x14ac:dyDescent="0.25">
      <c r="A17" s="5" t="s">
        <v>88</v>
      </c>
      <c r="B17" s="13">
        <f>SUM(D17:F17)</f>
        <v>163789819</v>
      </c>
      <c r="C17" s="13">
        <f t="shared" ref="C17:C19" si="0">B17/3</f>
        <v>54596606.333333336</v>
      </c>
      <c r="D17" s="13">
        <v>50908920</v>
      </c>
      <c r="E17" s="13">
        <v>112880899</v>
      </c>
      <c r="F17" s="13">
        <v>0</v>
      </c>
      <c r="G17" s="4"/>
    </row>
    <row r="18" spans="1:8" x14ac:dyDescent="0.25">
      <c r="A18" s="5" t="s">
        <v>89</v>
      </c>
      <c r="B18" s="13">
        <f>SUM(D18:F18)</f>
        <v>49174065.659999996</v>
      </c>
      <c r="C18" s="13">
        <f t="shared" si="0"/>
        <v>16391355.219999999</v>
      </c>
      <c r="D18" s="13">
        <v>48502555.659999996</v>
      </c>
      <c r="E18" s="31">
        <v>671510</v>
      </c>
      <c r="F18" s="32">
        <v>0</v>
      </c>
      <c r="G18" s="4"/>
    </row>
    <row r="19" spans="1:8" x14ac:dyDescent="0.25">
      <c r="A19" s="5" t="s">
        <v>80</v>
      </c>
      <c r="B19" s="13">
        <f>SUM(D19:F19)</f>
        <v>421387847.62</v>
      </c>
      <c r="C19" s="13">
        <f t="shared" si="0"/>
        <v>140462615.87333333</v>
      </c>
      <c r="D19" s="13">
        <v>172181220</v>
      </c>
      <c r="E19" s="13">
        <v>120580899</v>
      </c>
      <c r="F19" s="13">
        <v>128625728.62</v>
      </c>
      <c r="G19" s="4"/>
    </row>
    <row r="20" spans="1:8" x14ac:dyDescent="0.25">
      <c r="A20" s="5" t="s">
        <v>90</v>
      </c>
      <c r="B20" s="6"/>
      <c r="C20" s="6"/>
      <c r="D20" s="6"/>
      <c r="E20" s="6"/>
      <c r="F20" s="6"/>
      <c r="G20" s="4"/>
    </row>
    <row r="21" spans="1:8" x14ac:dyDescent="0.25">
      <c r="B21" s="6"/>
      <c r="C21" s="6"/>
      <c r="D21" s="6"/>
      <c r="E21" s="6"/>
      <c r="F21" s="6"/>
      <c r="G21" s="4"/>
    </row>
    <row r="22" spans="1:8" x14ac:dyDescent="0.25">
      <c r="A22" s="5" t="s">
        <v>10</v>
      </c>
      <c r="B22" s="6"/>
      <c r="C22" s="6"/>
      <c r="D22" s="6"/>
      <c r="E22" s="6"/>
      <c r="F22" s="6"/>
      <c r="G22" s="4"/>
    </row>
    <row r="23" spans="1:8" x14ac:dyDescent="0.25">
      <c r="A23" s="5" t="s">
        <v>88</v>
      </c>
      <c r="B23" s="13">
        <f>B17</f>
        <v>163789819</v>
      </c>
      <c r="C23" s="6"/>
      <c r="D23" s="6"/>
      <c r="E23" s="6"/>
      <c r="F23" s="6"/>
      <c r="G23" s="4"/>
      <c r="H23" s="8"/>
    </row>
    <row r="24" spans="1:8" x14ac:dyDescent="0.25">
      <c r="A24" s="5" t="s">
        <v>89</v>
      </c>
      <c r="B24" s="13">
        <v>63309488.489999995</v>
      </c>
      <c r="C24" s="6"/>
      <c r="D24" s="6"/>
      <c r="E24" s="6"/>
      <c r="F24" s="6"/>
      <c r="G24" s="4"/>
      <c r="H24" s="8"/>
    </row>
    <row r="25" spans="1:8" x14ac:dyDescent="0.25">
      <c r="B25" s="6"/>
      <c r="C25" s="6"/>
      <c r="D25" s="6"/>
      <c r="E25" s="6"/>
      <c r="F25" s="6"/>
      <c r="G25" s="4"/>
    </row>
    <row r="26" spans="1:8" x14ac:dyDescent="0.25">
      <c r="A26" t="s">
        <v>11</v>
      </c>
      <c r="B26" s="6"/>
      <c r="C26" s="6"/>
      <c r="D26" s="6"/>
      <c r="E26" s="6"/>
      <c r="F26" s="6"/>
      <c r="G26" s="4"/>
    </row>
    <row r="27" spans="1:8" x14ac:dyDescent="0.25">
      <c r="A27" t="s">
        <v>46</v>
      </c>
      <c r="B27" s="6">
        <v>1.4619442416999999</v>
      </c>
      <c r="C27" s="6">
        <v>1.4619442416999999</v>
      </c>
      <c r="D27" s="6">
        <v>1.4619442416999999</v>
      </c>
      <c r="E27" s="6">
        <v>1.4619442416999999</v>
      </c>
      <c r="F27" s="6">
        <v>1.4619442416999999</v>
      </c>
      <c r="G27" s="4"/>
    </row>
    <row r="28" spans="1:8" x14ac:dyDescent="0.25">
      <c r="A28" t="s">
        <v>91</v>
      </c>
      <c r="B28" s="6">
        <v>1.5319088546000001</v>
      </c>
      <c r="C28" s="6">
        <v>1.5319088546000001</v>
      </c>
      <c r="D28" s="6">
        <v>1.5319088545999999</v>
      </c>
      <c r="E28" s="6">
        <v>1.5319088545999999</v>
      </c>
      <c r="F28" s="6">
        <v>1.5319088545999999</v>
      </c>
      <c r="G28" s="4"/>
    </row>
    <row r="29" spans="1:8" x14ac:dyDescent="0.25">
      <c r="A29" t="s">
        <v>13</v>
      </c>
      <c r="B29" s="30"/>
      <c r="C29" s="30"/>
      <c r="D29" s="30"/>
      <c r="E29" s="30"/>
      <c r="F29" s="30"/>
      <c r="G29" s="4"/>
    </row>
    <row r="30" spans="1:8" x14ac:dyDescent="0.25">
      <c r="B30" s="6"/>
      <c r="C30" s="6"/>
      <c r="D30" s="6"/>
      <c r="E30" s="6"/>
      <c r="F30" s="6"/>
      <c r="G30" s="4"/>
    </row>
    <row r="31" spans="1:8" x14ac:dyDescent="0.25">
      <c r="A31" t="s">
        <v>14</v>
      </c>
      <c r="B31" s="6"/>
      <c r="C31" s="6"/>
      <c r="D31" s="6"/>
      <c r="E31" s="6"/>
      <c r="F31" s="6"/>
      <c r="G31" s="4"/>
    </row>
    <row r="32" spans="1:8" x14ac:dyDescent="0.25">
      <c r="A32" t="s">
        <v>47</v>
      </c>
      <c r="B32" s="6">
        <f>B16/B27</f>
        <v>32210965.395808361</v>
      </c>
      <c r="C32" s="6">
        <f>C16/C27</f>
        <v>10736988.465269456</v>
      </c>
      <c r="D32" s="6"/>
      <c r="E32" s="6"/>
      <c r="F32" s="6"/>
      <c r="G32" s="6"/>
    </row>
    <row r="33" spans="1:7" x14ac:dyDescent="0.25">
      <c r="A33" t="s">
        <v>92</v>
      </c>
      <c r="B33" s="6">
        <f>B18/B28</f>
        <v>32099863.847865764</v>
      </c>
      <c r="C33" s="6">
        <f>C18/C28</f>
        <v>10699954.615955254</v>
      </c>
      <c r="D33" s="6">
        <f>D18/D28</f>
        <v>31661515.314280629</v>
      </c>
      <c r="E33" s="6">
        <f>E18/E28</f>
        <v>438348.53358513908</v>
      </c>
      <c r="F33" s="6">
        <f t="shared" ref="F33" si="1">F18/F28</f>
        <v>0</v>
      </c>
      <c r="G33" s="4"/>
    </row>
    <row r="34" spans="1:7" x14ac:dyDescent="0.25">
      <c r="A34" t="s">
        <v>48</v>
      </c>
      <c r="B34" s="6">
        <f>B32/B10</f>
        <v>88491.663175297697</v>
      </c>
      <c r="C34" s="6">
        <f>B32/C10</f>
        <v>91595.162262962156</v>
      </c>
      <c r="D34" s="6"/>
      <c r="E34" s="6"/>
      <c r="F34" s="6"/>
      <c r="G34" s="4"/>
    </row>
    <row r="35" spans="1:7" x14ac:dyDescent="0.25">
      <c r="A35" t="s">
        <v>93</v>
      </c>
      <c r="B35" s="6">
        <f>B33/B12</f>
        <v>85371.978318791924</v>
      </c>
      <c r="C35" s="6">
        <f>B33/C12</f>
        <v>87944.832459906203</v>
      </c>
      <c r="D35" s="4"/>
    </row>
    <row r="36" spans="1:7" x14ac:dyDescent="0.25">
      <c r="B36" s="6"/>
      <c r="C36" s="6"/>
      <c r="D36" s="6"/>
      <c r="E36" s="6"/>
      <c r="F36" s="6"/>
      <c r="G36" s="4"/>
    </row>
    <row r="37" spans="1:7" x14ac:dyDescent="0.25">
      <c r="A37" s="3" t="s">
        <v>17</v>
      </c>
      <c r="B37" s="6"/>
      <c r="C37" s="6"/>
      <c r="D37" s="6"/>
      <c r="E37" s="6"/>
      <c r="F37" s="6"/>
      <c r="G37" s="4"/>
    </row>
    <row r="38" spans="1:7" x14ac:dyDescent="0.25">
      <c r="B38" s="6"/>
      <c r="C38" s="6"/>
      <c r="D38" s="6"/>
      <c r="E38" s="6"/>
      <c r="F38" s="6"/>
      <c r="G38" s="4"/>
    </row>
    <row r="39" spans="1:7" x14ac:dyDescent="0.25">
      <c r="A39" t="s">
        <v>18</v>
      </c>
      <c r="B39" s="6"/>
      <c r="C39" s="6"/>
      <c r="D39" s="6"/>
      <c r="E39" s="6"/>
      <c r="F39" s="6"/>
      <c r="G39" s="4"/>
    </row>
    <row r="40" spans="1:7" x14ac:dyDescent="0.25">
      <c r="A40" t="s">
        <v>19</v>
      </c>
      <c r="B40" s="6" t="s">
        <v>130</v>
      </c>
      <c r="C40" s="6" t="s">
        <v>130</v>
      </c>
      <c r="D40" s="6" t="s">
        <v>130</v>
      </c>
      <c r="E40" s="6" t="s">
        <v>130</v>
      </c>
      <c r="F40" s="6" t="s">
        <v>130</v>
      </c>
      <c r="G40" s="4"/>
    </row>
    <row r="41" spans="1:7" x14ac:dyDescent="0.25">
      <c r="A41" t="s">
        <v>20</v>
      </c>
      <c r="B41" s="6" t="s">
        <v>130</v>
      </c>
      <c r="C41" s="6" t="s">
        <v>130</v>
      </c>
      <c r="D41" s="6" t="s">
        <v>130</v>
      </c>
      <c r="E41" s="6" t="s">
        <v>130</v>
      </c>
      <c r="F41" s="6" t="s">
        <v>130</v>
      </c>
      <c r="G41" s="4"/>
    </row>
    <row r="42" spans="1:7" x14ac:dyDescent="0.25">
      <c r="B42" s="6"/>
      <c r="C42" s="6"/>
      <c r="D42" s="6"/>
      <c r="E42" s="6"/>
      <c r="F42" s="6"/>
      <c r="G42" s="4"/>
    </row>
    <row r="43" spans="1:7" x14ac:dyDescent="0.25">
      <c r="A43" t="s">
        <v>21</v>
      </c>
      <c r="B43" s="6"/>
      <c r="C43" s="6"/>
      <c r="D43" s="6"/>
      <c r="E43" s="6"/>
      <c r="F43" s="6"/>
      <c r="G43" s="4"/>
    </row>
    <row r="44" spans="1:7" x14ac:dyDescent="0.25">
      <c r="A44" s="16" t="s">
        <v>22</v>
      </c>
      <c r="B44" s="6">
        <f>B12/B11*100</f>
        <v>94</v>
      </c>
      <c r="C44" s="6">
        <f>C12/C11*100</f>
        <v>87.6</v>
      </c>
      <c r="D44" s="6"/>
      <c r="E44" s="6"/>
      <c r="F44" s="6"/>
      <c r="G44" s="4"/>
    </row>
    <row r="45" spans="1:7" x14ac:dyDescent="0.25">
      <c r="A45" s="16" t="s">
        <v>23</v>
      </c>
      <c r="B45" s="6">
        <f>B18/B17*100</f>
        <v>30.022663166872416</v>
      </c>
      <c r="C45" s="6">
        <f>C18/C17*100</f>
        <v>30.022663166872416</v>
      </c>
      <c r="D45" s="6">
        <f>D18/D17*100</f>
        <v>95.273197035018612</v>
      </c>
      <c r="E45" s="6">
        <f t="shared" ref="E45" si="2">E18/E17*100</f>
        <v>0.59488363925946408</v>
      </c>
      <c r="F45" s="6" t="e">
        <f>F18/F17*100</f>
        <v>#DIV/0!</v>
      </c>
      <c r="G45" s="4"/>
    </row>
    <row r="46" spans="1:7" x14ac:dyDescent="0.25">
      <c r="A46" s="16" t="s">
        <v>24</v>
      </c>
      <c r="B46" s="6">
        <f>AVERAGE(B44:B45)</f>
        <v>62.01133158343621</v>
      </c>
      <c r="C46" s="6">
        <f>AVERAGE(C44:C45)</f>
        <v>58.811331583436207</v>
      </c>
      <c r="D46" s="6"/>
      <c r="E46" s="6"/>
      <c r="F46" s="6"/>
      <c r="G46" s="4"/>
    </row>
    <row r="47" spans="1:7" x14ac:dyDescent="0.25">
      <c r="A47" s="16"/>
      <c r="B47" s="6"/>
      <c r="C47" s="6"/>
      <c r="D47" s="6"/>
      <c r="E47" s="6"/>
      <c r="F47" s="6"/>
      <c r="G47" s="4"/>
    </row>
    <row r="48" spans="1:7" x14ac:dyDescent="0.25">
      <c r="A48" s="16" t="s">
        <v>25</v>
      </c>
      <c r="B48" s="6"/>
      <c r="C48" s="6"/>
      <c r="D48" s="6"/>
      <c r="E48" s="6"/>
      <c r="F48" s="6"/>
      <c r="G48" s="4"/>
    </row>
    <row r="49" spans="1:7" x14ac:dyDescent="0.25">
      <c r="A49" s="16" t="s">
        <v>26</v>
      </c>
      <c r="B49" s="6">
        <f>(B12*3)/(B13*12)*100</f>
        <v>23.5</v>
      </c>
      <c r="C49" s="6">
        <f>(C12*3)/(C13*12)*100</f>
        <v>22.8125</v>
      </c>
      <c r="D49" s="6"/>
      <c r="E49" s="6"/>
      <c r="F49" s="6"/>
      <c r="G49" s="4"/>
    </row>
    <row r="50" spans="1:7" x14ac:dyDescent="0.25">
      <c r="A50" s="16" t="s">
        <v>27</v>
      </c>
      <c r="B50" s="6">
        <f>B18/B19*100</f>
        <v>11.669550020897681</v>
      </c>
      <c r="C50" s="6">
        <f>C18/C19*100</f>
        <v>11.669550020897681</v>
      </c>
      <c r="D50" s="6">
        <f>D18/D19*100</f>
        <v>28.169480771480188</v>
      </c>
      <c r="E50" s="6">
        <f t="shared" ref="E50:F50" si="3">E18/E19*100</f>
        <v>0.55689583140361221</v>
      </c>
      <c r="F50" s="6">
        <f t="shared" si="3"/>
        <v>0</v>
      </c>
      <c r="G50" s="4"/>
    </row>
    <row r="51" spans="1:7" x14ac:dyDescent="0.25">
      <c r="A51" s="16" t="s">
        <v>28</v>
      </c>
      <c r="B51" s="6">
        <f>(B49+B50)/2</f>
        <v>17.584775010448841</v>
      </c>
      <c r="C51" s="6">
        <f>(C49+C50)/2</f>
        <v>17.241025010448841</v>
      </c>
      <c r="D51" s="6"/>
      <c r="E51" s="6"/>
      <c r="F51" s="6"/>
      <c r="G51" s="4"/>
    </row>
    <row r="52" spans="1:7" x14ac:dyDescent="0.25">
      <c r="A52" s="16"/>
      <c r="B52" s="6"/>
      <c r="C52" s="6"/>
      <c r="D52" s="6"/>
      <c r="E52" s="6"/>
      <c r="F52" s="6"/>
      <c r="G52" s="4"/>
    </row>
    <row r="53" spans="1:7" x14ac:dyDescent="0.25">
      <c r="A53" s="16" t="s">
        <v>65</v>
      </c>
      <c r="B53" s="6"/>
      <c r="C53" s="6"/>
      <c r="D53" s="6"/>
      <c r="E53" s="6"/>
      <c r="F53" s="6"/>
      <c r="G53" s="4"/>
    </row>
    <row r="54" spans="1:7" x14ac:dyDescent="0.25">
      <c r="A54" s="16" t="s">
        <v>29</v>
      </c>
      <c r="B54" s="6">
        <f>B20/B18*100</f>
        <v>0</v>
      </c>
      <c r="C54" s="6">
        <f>C20/C18*100</f>
        <v>0</v>
      </c>
      <c r="D54" s="6">
        <f t="shared" ref="D54:F54" si="4">D20/D18*100</f>
        <v>0</v>
      </c>
      <c r="E54" s="6">
        <f t="shared" si="4"/>
        <v>0</v>
      </c>
      <c r="F54" s="6" t="e">
        <f t="shared" si="4"/>
        <v>#DIV/0!</v>
      </c>
      <c r="G54" s="4"/>
    </row>
    <row r="55" spans="1:7" x14ac:dyDescent="0.25">
      <c r="A55" s="16"/>
      <c r="B55" s="6"/>
      <c r="C55" s="6"/>
      <c r="D55" s="6"/>
      <c r="E55" s="6"/>
      <c r="F55" s="6"/>
      <c r="G55" s="4"/>
    </row>
    <row r="56" spans="1:7" x14ac:dyDescent="0.25">
      <c r="A56" s="16" t="s">
        <v>30</v>
      </c>
      <c r="B56" s="6"/>
      <c r="C56" s="6"/>
      <c r="D56" s="6"/>
      <c r="E56" s="6"/>
      <c r="F56" s="6"/>
      <c r="G56" s="4"/>
    </row>
    <row r="57" spans="1:7" x14ac:dyDescent="0.25">
      <c r="A57" s="16" t="s">
        <v>31</v>
      </c>
      <c r="B57" s="6">
        <f>((B12/B10)-1)*100</f>
        <v>3.2967032967033072</v>
      </c>
      <c r="C57" s="6">
        <f>((C12/C10)-1)*100</f>
        <v>3.7914691943127909</v>
      </c>
      <c r="D57" s="6"/>
      <c r="E57" s="6"/>
      <c r="F57" s="6"/>
      <c r="G57" s="4"/>
    </row>
    <row r="58" spans="1:7" x14ac:dyDescent="0.25">
      <c r="A58" s="16" t="s">
        <v>32</v>
      </c>
      <c r="B58" s="6">
        <f>((B33/B32)-1)*100</f>
        <v>-0.34491840457863132</v>
      </c>
      <c r="C58" s="6">
        <f>((C33/C32)-1)*100</f>
        <v>-0.34491840457865353</v>
      </c>
      <c r="D58" s="6"/>
      <c r="E58" s="6"/>
      <c r="F58" s="6"/>
      <c r="G58" s="4"/>
    </row>
    <row r="59" spans="1:7" x14ac:dyDescent="0.25">
      <c r="A59" s="16" t="s">
        <v>33</v>
      </c>
      <c r="B59" s="6">
        <f>((B35/B34)-1)*100</f>
        <v>-3.5253997320920827</v>
      </c>
      <c r="C59" s="6">
        <f>((C35/C34)-1)*100</f>
        <v>-3.985286682036937</v>
      </c>
      <c r="D59" s="6"/>
      <c r="E59" s="6"/>
      <c r="F59" s="6"/>
      <c r="G59" s="4"/>
    </row>
    <row r="60" spans="1:7" x14ac:dyDescent="0.25">
      <c r="A60" s="16"/>
      <c r="B60" s="6"/>
      <c r="C60" s="6"/>
      <c r="D60" s="6"/>
      <c r="E60" s="6"/>
      <c r="F60" s="6"/>
      <c r="G60" s="4"/>
    </row>
    <row r="61" spans="1:7" x14ac:dyDescent="0.25">
      <c r="A61" s="16" t="s">
        <v>34</v>
      </c>
      <c r="B61" s="6"/>
      <c r="C61" s="6"/>
      <c r="D61" s="6"/>
      <c r="E61" s="6"/>
      <c r="F61" s="6"/>
      <c r="G61" s="4"/>
    </row>
    <row r="62" spans="1:7" x14ac:dyDescent="0.25">
      <c r="A62" s="16" t="s">
        <v>66</v>
      </c>
      <c r="B62" s="6">
        <f>B17/(C11*3)</f>
        <v>131031.85520000001</v>
      </c>
      <c r="C62" s="6"/>
      <c r="D62" s="6"/>
      <c r="E62" s="6"/>
      <c r="F62" s="6"/>
    </row>
    <row r="63" spans="1:7" x14ac:dyDescent="0.25">
      <c r="A63" s="16" t="s">
        <v>67</v>
      </c>
      <c r="B63" s="6">
        <f>B18/(C12*3)</f>
        <v>44907.822520547939</v>
      </c>
      <c r="C63" s="6"/>
      <c r="D63" s="4"/>
      <c r="G63" s="4"/>
    </row>
    <row r="64" spans="1:7" x14ac:dyDescent="0.25">
      <c r="A64" s="16" t="s">
        <v>35</v>
      </c>
      <c r="B64" s="6">
        <f>(B62/B63)*B46</f>
        <v>180.93640182803631</v>
      </c>
      <c r="C64" s="6"/>
      <c r="D64" s="6"/>
      <c r="E64" s="6"/>
      <c r="F64" s="6"/>
      <c r="G64" s="4"/>
    </row>
    <row r="65" spans="1:8" x14ac:dyDescent="0.25">
      <c r="A65" s="14" t="s">
        <v>68</v>
      </c>
      <c r="B65" s="6">
        <f>B17/C11</f>
        <v>393095.56559999997</v>
      </c>
      <c r="C65" s="6"/>
      <c r="D65" s="6"/>
      <c r="E65" s="6"/>
      <c r="F65" s="6"/>
      <c r="G65" s="4"/>
    </row>
    <row r="66" spans="1:8" x14ac:dyDescent="0.25">
      <c r="A66" s="14" t="s">
        <v>69</v>
      </c>
      <c r="B66" s="6">
        <f>B18/C12</f>
        <v>134723.46756164383</v>
      </c>
      <c r="C66" s="6"/>
      <c r="D66" s="6"/>
      <c r="E66" s="6"/>
      <c r="F66" s="6"/>
      <c r="G66" s="4"/>
    </row>
    <row r="67" spans="1:8" x14ac:dyDescent="0.25">
      <c r="B67" s="6"/>
      <c r="C67" s="6"/>
      <c r="D67" s="6"/>
      <c r="E67" s="6"/>
      <c r="F67" s="6"/>
      <c r="G67" s="4"/>
    </row>
    <row r="68" spans="1:8" x14ac:dyDescent="0.25">
      <c r="A68" t="s">
        <v>36</v>
      </c>
      <c r="B68" s="6"/>
      <c r="C68" s="6"/>
      <c r="D68" s="6"/>
      <c r="E68" s="6"/>
      <c r="F68" s="6"/>
      <c r="G68" s="4"/>
      <c r="H68" s="8"/>
    </row>
    <row r="69" spans="1:8" x14ac:dyDescent="0.25">
      <c r="A69" t="s">
        <v>37</v>
      </c>
      <c r="B69" s="6">
        <f>(B24/B23)*100</f>
        <v>38.65288384621757</v>
      </c>
      <c r="C69" s="6"/>
      <c r="D69" s="6"/>
      <c r="E69" s="6"/>
      <c r="F69" s="6"/>
      <c r="G69" s="4"/>
      <c r="H69" s="8"/>
    </row>
    <row r="70" spans="1:8" x14ac:dyDescent="0.25">
      <c r="A70" t="s">
        <v>38</v>
      </c>
      <c r="B70" s="6">
        <f>(B18/B24)*100</f>
        <v>77.672505074444331</v>
      </c>
      <c r="C70" s="6"/>
      <c r="D70" s="6"/>
      <c r="E70" s="6"/>
      <c r="F70" s="6"/>
    </row>
    <row r="71" spans="1:8" ht="15.75" thickBot="1" x14ac:dyDescent="0.3">
      <c r="A71" s="9"/>
      <c r="B71" s="9"/>
      <c r="C71" s="9"/>
      <c r="D71" s="9"/>
      <c r="E71" s="9"/>
      <c r="F71" s="9"/>
    </row>
    <row r="72" spans="1:8" ht="15.75" thickTop="1" x14ac:dyDescent="0.25"/>
    <row r="73" spans="1:8" x14ac:dyDescent="0.25">
      <c r="A73" s="10" t="s">
        <v>39</v>
      </c>
    </row>
    <row r="74" spans="1:8" x14ac:dyDescent="0.25">
      <c r="A74" s="10" t="s">
        <v>85</v>
      </c>
    </row>
    <row r="75" spans="1:8" x14ac:dyDescent="0.25">
      <c r="A75" s="11" t="s">
        <v>86</v>
      </c>
      <c r="B75" s="12"/>
      <c r="C75" s="12"/>
      <c r="D75" s="12"/>
      <c r="E75" s="12"/>
    </row>
    <row r="76" spans="1:8" x14ac:dyDescent="0.25">
      <c r="A76" s="11" t="s">
        <v>74</v>
      </c>
      <c r="B76" s="12"/>
      <c r="C76" s="12"/>
      <c r="D76" s="12"/>
      <c r="E76" s="12"/>
    </row>
    <row r="77" spans="1:8" x14ac:dyDescent="0.25">
      <c r="A77" t="s">
        <v>129</v>
      </c>
    </row>
    <row r="78" spans="1:8" x14ac:dyDescent="0.25">
      <c r="A78" s="15" t="s">
        <v>75</v>
      </c>
    </row>
    <row r="79" spans="1:8" x14ac:dyDescent="0.25">
      <c r="A79" s="15" t="s">
        <v>76</v>
      </c>
    </row>
  </sheetData>
  <mergeCells count="5">
    <mergeCell ref="A2:F2"/>
    <mergeCell ref="A4:A5"/>
    <mergeCell ref="B4:B5"/>
    <mergeCell ref="C4:C5"/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topLeftCell="A58" workbookViewId="0">
      <selection activeCell="D39" sqref="D39"/>
    </sheetView>
  </sheetViews>
  <sheetFormatPr baseColWidth="10" defaultRowHeight="15" x14ac:dyDescent="0.25"/>
  <cols>
    <col min="1" max="1" width="55.140625" customWidth="1"/>
    <col min="2" max="2" width="13.85546875" bestFit="1" customWidth="1"/>
    <col min="3" max="3" width="13.85546875" customWidth="1"/>
    <col min="4" max="4" width="20.7109375" customWidth="1"/>
    <col min="5" max="5" width="13.7109375" customWidth="1"/>
    <col min="6" max="7" width="13.7109375" bestFit="1" customWidth="1"/>
  </cols>
  <sheetData>
    <row r="2" spans="1:7" ht="15.75" x14ac:dyDescent="0.25">
      <c r="A2" s="33" t="s">
        <v>94</v>
      </c>
      <c r="B2" s="33"/>
      <c r="C2" s="33"/>
      <c r="D2" s="33"/>
      <c r="E2" s="33"/>
      <c r="F2" s="33"/>
    </row>
    <row r="4" spans="1:7" ht="15" customHeight="1" x14ac:dyDescent="0.25">
      <c r="A4" s="34" t="s">
        <v>0</v>
      </c>
      <c r="B4" s="36" t="s">
        <v>1</v>
      </c>
      <c r="C4" s="36" t="s">
        <v>44</v>
      </c>
      <c r="D4" s="38" t="s">
        <v>2</v>
      </c>
      <c r="E4" s="38"/>
      <c r="F4" s="38"/>
    </row>
    <row r="5" spans="1:7" ht="15.75" thickBot="1" x14ac:dyDescent="0.3">
      <c r="A5" s="35"/>
      <c r="B5" s="37"/>
      <c r="C5" s="37"/>
      <c r="D5" s="1" t="s">
        <v>3</v>
      </c>
      <c r="E5" s="2" t="s">
        <v>4</v>
      </c>
      <c r="F5" s="2" t="s">
        <v>5</v>
      </c>
    </row>
    <row r="6" spans="1:7" ht="15.75" thickTop="1" x14ac:dyDescent="0.25"/>
    <row r="7" spans="1:7" x14ac:dyDescent="0.25">
      <c r="A7" s="3" t="s">
        <v>6</v>
      </c>
    </row>
    <row r="8" spans="1:7" x14ac:dyDescent="0.25">
      <c r="B8" s="4"/>
      <c r="C8" s="4"/>
      <c r="D8" s="4"/>
      <c r="E8" s="4"/>
      <c r="F8" s="4"/>
      <c r="G8" s="4"/>
    </row>
    <row r="9" spans="1:7" x14ac:dyDescent="0.25">
      <c r="A9" t="s">
        <v>7</v>
      </c>
      <c r="B9" s="4"/>
      <c r="C9" s="4"/>
      <c r="D9" s="4"/>
      <c r="E9" s="4"/>
      <c r="F9" s="4"/>
      <c r="G9" s="4"/>
    </row>
    <row r="10" spans="1:7" x14ac:dyDescent="0.25">
      <c r="A10" s="5" t="s">
        <v>8</v>
      </c>
      <c r="B10" s="13">
        <v>333</v>
      </c>
      <c r="C10" s="13">
        <v>330.33333333333331</v>
      </c>
      <c r="D10" s="6"/>
      <c r="E10" s="6"/>
      <c r="F10" s="6"/>
      <c r="G10" s="4"/>
    </row>
    <row r="11" spans="1:7" x14ac:dyDescent="0.25">
      <c r="A11" s="5" t="s">
        <v>95</v>
      </c>
      <c r="B11" s="13">
        <v>400</v>
      </c>
      <c r="C11" s="13">
        <v>400</v>
      </c>
      <c r="D11" s="6"/>
      <c r="E11" s="6"/>
      <c r="F11" s="6"/>
      <c r="G11" s="4"/>
    </row>
    <row r="12" spans="1:7" x14ac:dyDescent="0.25">
      <c r="A12" s="5" t="s">
        <v>96</v>
      </c>
      <c r="B12" s="13">
        <v>345</v>
      </c>
      <c r="C12" s="13">
        <v>338</v>
      </c>
      <c r="D12" s="4"/>
    </row>
    <row r="13" spans="1:7" x14ac:dyDescent="0.25">
      <c r="A13" s="5" t="s">
        <v>80</v>
      </c>
      <c r="B13" s="13">
        <v>400</v>
      </c>
      <c r="C13" s="13">
        <v>400</v>
      </c>
      <c r="D13" s="6"/>
      <c r="E13" s="6"/>
      <c r="F13" s="6"/>
      <c r="G13" s="4"/>
    </row>
    <row r="14" spans="1:7" x14ac:dyDescent="0.25">
      <c r="B14" s="6"/>
      <c r="C14" s="6"/>
      <c r="D14" s="6"/>
      <c r="E14" s="6"/>
      <c r="F14" s="6"/>
      <c r="G14" s="4"/>
    </row>
    <row r="15" spans="1:7" x14ac:dyDescent="0.25">
      <c r="A15" s="7" t="s">
        <v>9</v>
      </c>
      <c r="B15" s="6"/>
      <c r="C15" s="6"/>
      <c r="D15" s="6"/>
      <c r="E15" s="6"/>
      <c r="F15" s="6"/>
      <c r="G15" s="4"/>
    </row>
    <row r="16" spans="1:7" x14ac:dyDescent="0.25">
      <c r="A16" s="5" t="s">
        <v>8</v>
      </c>
      <c r="B16" s="13">
        <f>SUM(D16:F16)</f>
        <v>64495088.869999997</v>
      </c>
      <c r="C16" s="13">
        <f>B16/3</f>
        <v>21498362.956666667</v>
      </c>
      <c r="D16" s="13">
        <v>29983148.869999997</v>
      </c>
      <c r="E16" s="13">
        <v>34511940</v>
      </c>
      <c r="F16" s="13">
        <v>0</v>
      </c>
      <c r="G16" s="4"/>
    </row>
    <row r="17" spans="1:8" x14ac:dyDescent="0.25">
      <c r="A17" s="5" t="s">
        <v>95</v>
      </c>
      <c r="B17" s="13">
        <f>SUM(D17:F17)</f>
        <v>62951565.579999998</v>
      </c>
      <c r="C17" s="13">
        <f t="shared" ref="C17:C19" si="0">B17/3</f>
        <v>20983855.193333331</v>
      </c>
      <c r="D17" s="13">
        <v>58363380</v>
      </c>
      <c r="E17" s="13">
        <v>4588185.58</v>
      </c>
      <c r="F17" s="13">
        <v>0</v>
      </c>
      <c r="G17" s="4"/>
    </row>
    <row r="18" spans="1:8" x14ac:dyDescent="0.25">
      <c r="A18" s="5" t="s">
        <v>96</v>
      </c>
      <c r="B18" s="13">
        <f>SUM(D18:F18)</f>
        <v>57858673.32</v>
      </c>
      <c r="C18" s="13">
        <f t="shared" si="0"/>
        <v>19286224.440000001</v>
      </c>
      <c r="D18" s="13">
        <v>56677355.32</v>
      </c>
      <c r="E18" s="31">
        <v>0</v>
      </c>
      <c r="F18" s="32">
        <v>1181318</v>
      </c>
      <c r="G18" s="4"/>
    </row>
    <row r="19" spans="1:8" x14ac:dyDescent="0.25">
      <c r="A19" s="5" t="s">
        <v>80</v>
      </c>
      <c r="B19" s="13">
        <f>SUM(D19:F19)</f>
        <v>425976033.19999999</v>
      </c>
      <c r="C19" s="13">
        <f t="shared" si="0"/>
        <v>141992011.06666666</v>
      </c>
      <c r="D19" s="13">
        <v>172181220</v>
      </c>
      <c r="E19" s="13">
        <v>125169084.58</v>
      </c>
      <c r="F19" s="13">
        <v>128625728.62</v>
      </c>
      <c r="G19" s="4"/>
    </row>
    <row r="20" spans="1:8" x14ac:dyDescent="0.25">
      <c r="A20" s="5" t="s">
        <v>97</v>
      </c>
      <c r="B20" s="6"/>
      <c r="C20" s="6"/>
      <c r="D20" s="6"/>
      <c r="E20" s="6"/>
      <c r="F20" s="6"/>
      <c r="G20" s="4"/>
    </row>
    <row r="21" spans="1:8" x14ac:dyDescent="0.25">
      <c r="B21" s="6"/>
      <c r="C21" s="6"/>
      <c r="D21" s="6"/>
      <c r="E21" s="6"/>
      <c r="F21" s="6"/>
      <c r="G21" s="4"/>
    </row>
    <row r="22" spans="1:8" x14ac:dyDescent="0.25">
      <c r="A22" s="5" t="s">
        <v>10</v>
      </c>
      <c r="B22" s="6"/>
      <c r="C22" s="6"/>
      <c r="D22" s="6"/>
      <c r="E22" s="6"/>
      <c r="F22" s="6"/>
      <c r="G22" s="4"/>
    </row>
    <row r="23" spans="1:8" x14ac:dyDescent="0.25">
      <c r="A23" s="5" t="s">
        <v>95</v>
      </c>
      <c r="B23" s="13">
        <f>B17</f>
        <v>62951565.579999998</v>
      </c>
      <c r="C23" s="6"/>
      <c r="D23" s="6"/>
      <c r="E23" s="6"/>
      <c r="F23" s="6"/>
      <c r="G23" s="4"/>
      <c r="H23" s="8"/>
    </row>
    <row r="24" spans="1:8" x14ac:dyDescent="0.25">
      <c r="A24" s="5" t="s">
        <v>96</v>
      </c>
      <c r="B24" s="13">
        <v>61629138.5</v>
      </c>
      <c r="C24" s="6"/>
      <c r="D24" s="6"/>
      <c r="E24" s="6"/>
      <c r="F24" s="6"/>
      <c r="G24" s="4"/>
      <c r="H24" s="8"/>
    </row>
    <row r="25" spans="1:8" x14ac:dyDescent="0.25">
      <c r="B25" s="6"/>
      <c r="C25" s="6"/>
      <c r="D25" s="6"/>
      <c r="E25" s="6"/>
      <c r="F25" s="6"/>
      <c r="G25" s="4"/>
    </row>
    <row r="26" spans="1:8" x14ac:dyDescent="0.25">
      <c r="A26" t="s">
        <v>11</v>
      </c>
      <c r="B26" s="6"/>
      <c r="C26" s="6"/>
      <c r="D26" s="6"/>
      <c r="E26" s="6"/>
      <c r="F26" s="6"/>
      <c r="G26" s="4"/>
    </row>
    <row r="27" spans="1:8" x14ac:dyDescent="0.25">
      <c r="A27" t="s">
        <v>12</v>
      </c>
      <c r="B27" s="6">
        <v>1.4773597119666666</v>
      </c>
      <c r="C27" s="6">
        <v>1.4773597119666666</v>
      </c>
      <c r="D27" s="6">
        <v>1.4773597119666666</v>
      </c>
      <c r="E27" s="6">
        <v>1.4773597119666666</v>
      </c>
      <c r="F27" s="6">
        <v>1.4773597119666666</v>
      </c>
      <c r="G27" s="4"/>
    </row>
    <row r="28" spans="1:8" x14ac:dyDescent="0.25">
      <c r="A28" t="s">
        <v>98</v>
      </c>
      <c r="B28" s="6">
        <v>1.5396358920333333</v>
      </c>
      <c r="C28" s="6">
        <v>1.5396358920333333</v>
      </c>
      <c r="D28" s="6">
        <v>1.5396358920333333</v>
      </c>
      <c r="E28" s="6">
        <v>1.5396358920333333</v>
      </c>
      <c r="F28" s="6">
        <v>1.5396358920333333</v>
      </c>
      <c r="G28" s="4"/>
    </row>
    <row r="29" spans="1:8" x14ac:dyDescent="0.25">
      <c r="A29" t="s">
        <v>13</v>
      </c>
      <c r="B29" s="13"/>
      <c r="C29" s="13"/>
      <c r="D29" s="13"/>
      <c r="E29" s="13"/>
      <c r="F29" s="13"/>
      <c r="G29" s="4"/>
    </row>
    <row r="30" spans="1:8" x14ac:dyDescent="0.25">
      <c r="B30" s="6"/>
      <c r="C30" s="6"/>
      <c r="D30" s="6"/>
      <c r="E30" s="6"/>
      <c r="F30" s="6"/>
      <c r="G30" s="4"/>
    </row>
    <row r="31" spans="1:8" x14ac:dyDescent="0.25">
      <c r="A31" t="s">
        <v>14</v>
      </c>
      <c r="B31" s="6"/>
      <c r="C31" s="6"/>
      <c r="D31" s="6"/>
      <c r="E31" s="6"/>
      <c r="F31" s="6"/>
      <c r="G31" s="4"/>
    </row>
    <row r="32" spans="1:8" x14ac:dyDescent="0.25">
      <c r="A32" t="s">
        <v>15</v>
      </c>
      <c r="B32" s="6">
        <f>B16/B27</f>
        <v>43655643.475036897</v>
      </c>
      <c r="C32" s="6">
        <f>C16/C27</f>
        <v>14551881.158345632</v>
      </c>
      <c r="D32" s="6"/>
      <c r="E32" s="6"/>
      <c r="F32" s="6"/>
      <c r="G32" s="6"/>
    </row>
    <row r="33" spans="1:7" x14ac:dyDescent="0.25">
      <c r="A33" t="s">
        <v>99</v>
      </c>
      <c r="B33" s="6">
        <f>B18/B28</f>
        <v>37579452.141498499</v>
      </c>
      <c r="C33" s="6">
        <f>C18/C28</f>
        <v>12526484.047166167</v>
      </c>
      <c r="D33" s="6">
        <f>D18/D28</f>
        <v>36812181.122348718</v>
      </c>
      <c r="E33" s="6">
        <f>E18/E28</f>
        <v>0</v>
      </c>
      <c r="F33" s="6">
        <f t="shared" ref="F33" si="1">F18/F28</f>
        <v>767271.01914978237</v>
      </c>
      <c r="G33" s="4"/>
    </row>
    <row r="34" spans="1:7" x14ac:dyDescent="0.25">
      <c r="A34" t="s">
        <v>16</v>
      </c>
      <c r="B34" s="6">
        <f>B32/B10</f>
        <v>131098.02845356424</v>
      </c>
      <c r="C34" s="6">
        <f>B32/C10</f>
        <v>132156.33746227113</v>
      </c>
      <c r="D34" s="6"/>
      <c r="E34" s="6"/>
      <c r="F34" s="6"/>
      <c r="G34" s="4"/>
    </row>
    <row r="35" spans="1:7" x14ac:dyDescent="0.25">
      <c r="A35" t="s">
        <v>100</v>
      </c>
      <c r="B35" s="6">
        <f>B33/B12</f>
        <v>108925.94823622753</v>
      </c>
      <c r="C35" s="6">
        <f>B33/C12</f>
        <v>111181.81106952218</v>
      </c>
      <c r="D35" s="4"/>
    </row>
    <row r="36" spans="1:7" x14ac:dyDescent="0.25">
      <c r="B36" s="6"/>
      <c r="C36" s="6"/>
      <c r="D36" s="6"/>
      <c r="E36" s="6"/>
      <c r="F36" s="6"/>
      <c r="G36" s="4"/>
    </row>
    <row r="37" spans="1:7" x14ac:dyDescent="0.25">
      <c r="A37" s="3" t="s">
        <v>17</v>
      </c>
      <c r="B37" s="6"/>
      <c r="C37" s="6"/>
      <c r="D37" s="6"/>
      <c r="E37" s="6"/>
      <c r="F37" s="6"/>
      <c r="G37" s="4"/>
    </row>
    <row r="38" spans="1:7" x14ac:dyDescent="0.25">
      <c r="B38" s="6"/>
      <c r="C38" s="6"/>
      <c r="D38" s="6"/>
      <c r="E38" s="6"/>
      <c r="F38" s="6"/>
      <c r="G38" s="4"/>
    </row>
    <row r="39" spans="1:7" x14ac:dyDescent="0.25">
      <c r="A39" t="s">
        <v>18</v>
      </c>
      <c r="B39" s="6"/>
      <c r="C39" s="6"/>
      <c r="D39" s="6"/>
      <c r="E39" s="6"/>
      <c r="F39" s="6"/>
      <c r="G39" s="4"/>
    </row>
    <row r="40" spans="1:7" x14ac:dyDescent="0.25">
      <c r="A40" t="s">
        <v>19</v>
      </c>
      <c r="B40" s="6" t="s">
        <v>130</v>
      </c>
      <c r="C40" s="6" t="s">
        <v>130</v>
      </c>
      <c r="D40" s="6" t="s">
        <v>130</v>
      </c>
      <c r="E40" s="6" t="s">
        <v>130</v>
      </c>
      <c r="F40" s="6" t="s">
        <v>130</v>
      </c>
      <c r="G40" s="4"/>
    </row>
    <row r="41" spans="1:7" x14ac:dyDescent="0.25">
      <c r="A41" t="s">
        <v>20</v>
      </c>
      <c r="B41" s="6" t="s">
        <v>130</v>
      </c>
      <c r="C41" s="6" t="s">
        <v>130</v>
      </c>
      <c r="D41" s="6" t="s">
        <v>130</v>
      </c>
      <c r="E41" s="6" t="s">
        <v>130</v>
      </c>
      <c r="F41" s="6" t="s">
        <v>130</v>
      </c>
      <c r="G41" s="4"/>
    </row>
    <row r="42" spans="1:7" x14ac:dyDescent="0.25">
      <c r="B42" s="6"/>
      <c r="C42" s="6"/>
      <c r="D42" s="6"/>
      <c r="E42" s="6"/>
      <c r="F42" s="6"/>
      <c r="G42" s="4"/>
    </row>
    <row r="43" spans="1:7" x14ac:dyDescent="0.25">
      <c r="A43" t="s">
        <v>21</v>
      </c>
      <c r="B43" s="6"/>
      <c r="C43" s="6"/>
      <c r="D43" s="6"/>
      <c r="E43" s="6"/>
      <c r="F43" s="6"/>
      <c r="G43" s="4"/>
    </row>
    <row r="44" spans="1:7" x14ac:dyDescent="0.25">
      <c r="A44" s="16" t="s">
        <v>22</v>
      </c>
      <c r="B44" s="6">
        <f>B12/B11*100</f>
        <v>86.25</v>
      </c>
      <c r="C44" s="6">
        <f>C12/C11*100</f>
        <v>84.5</v>
      </c>
      <c r="D44" s="6"/>
      <c r="E44" s="6"/>
      <c r="F44" s="6"/>
      <c r="G44" s="4"/>
    </row>
    <row r="45" spans="1:7" x14ac:dyDescent="0.25">
      <c r="A45" s="16" t="s">
        <v>23</v>
      </c>
      <c r="B45" s="6">
        <f>B18/B17*100</f>
        <v>91.909824302101185</v>
      </c>
      <c r="C45" s="6">
        <f>C18/C17*100</f>
        <v>91.9098243021012</v>
      </c>
      <c r="D45" s="6">
        <f>D18/D17*100</f>
        <v>97.111159977369383</v>
      </c>
      <c r="E45" s="6">
        <f t="shared" ref="E45" si="2">E18/E17*100</f>
        <v>0</v>
      </c>
      <c r="F45" s="6" t="e">
        <f>F18/F17*100</f>
        <v>#DIV/0!</v>
      </c>
      <c r="G45" s="4"/>
    </row>
    <row r="46" spans="1:7" x14ac:dyDescent="0.25">
      <c r="A46" s="16" t="s">
        <v>24</v>
      </c>
      <c r="B46" s="6">
        <f>AVERAGE(B44:B45)</f>
        <v>89.079912151050593</v>
      </c>
      <c r="C46" s="6">
        <f>AVERAGE(C44:C45)</f>
        <v>88.204912151050593</v>
      </c>
      <c r="D46" s="6"/>
      <c r="E46" s="6"/>
      <c r="F46" s="6"/>
      <c r="G46" s="4"/>
    </row>
    <row r="47" spans="1:7" x14ac:dyDescent="0.25">
      <c r="A47" s="16"/>
      <c r="B47" s="6"/>
      <c r="C47" s="6"/>
      <c r="D47" s="6"/>
      <c r="E47" s="6"/>
      <c r="F47" s="6"/>
      <c r="G47" s="4"/>
    </row>
    <row r="48" spans="1:7" x14ac:dyDescent="0.25">
      <c r="A48" s="16" t="s">
        <v>25</v>
      </c>
      <c r="B48" s="6"/>
      <c r="C48" s="6"/>
      <c r="D48" s="6"/>
      <c r="E48" s="6"/>
      <c r="F48" s="6"/>
      <c r="G48" s="4"/>
    </row>
    <row r="49" spans="1:7" x14ac:dyDescent="0.25">
      <c r="A49" s="16" t="s">
        <v>26</v>
      </c>
      <c r="B49" s="6">
        <f>(B12*3)/(B13*12)*100</f>
        <v>21.5625</v>
      </c>
      <c r="C49" s="6">
        <f>(C12*3)/(C13*12)*100</f>
        <v>21.125</v>
      </c>
      <c r="D49" s="6"/>
      <c r="E49" s="6"/>
      <c r="F49" s="6"/>
      <c r="G49" s="4"/>
    </row>
    <row r="50" spans="1:7" x14ac:dyDescent="0.25">
      <c r="A50" s="16" t="s">
        <v>27</v>
      </c>
      <c r="B50" s="6">
        <f>B18/B19*100</f>
        <v>13.582612356229623</v>
      </c>
      <c r="C50" s="6">
        <f>C18/C19*100</f>
        <v>13.582612356229623</v>
      </c>
      <c r="D50" s="6">
        <f>D18/D19*100</f>
        <v>32.917268979741223</v>
      </c>
      <c r="E50" s="6">
        <f t="shared" ref="E50:F50" si="3">E18/E19*100</f>
        <v>0</v>
      </c>
      <c r="F50" s="6">
        <f t="shared" si="3"/>
        <v>0.91841501126883951</v>
      </c>
      <c r="G50" s="4"/>
    </row>
    <row r="51" spans="1:7" x14ac:dyDescent="0.25">
      <c r="A51" s="16" t="s">
        <v>28</v>
      </c>
      <c r="B51" s="6">
        <f>(B49+B50)/2</f>
        <v>17.572556178114812</v>
      </c>
      <c r="C51" s="6">
        <f>(C49+C50)/2</f>
        <v>17.353806178114812</v>
      </c>
      <c r="D51" s="6"/>
      <c r="E51" s="6"/>
      <c r="F51" s="6"/>
      <c r="G51" s="4"/>
    </row>
    <row r="52" spans="1:7" x14ac:dyDescent="0.25">
      <c r="A52" s="16"/>
      <c r="B52" s="6"/>
      <c r="C52" s="6"/>
      <c r="D52" s="6"/>
      <c r="E52" s="6"/>
      <c r="F52" s="6"/>
      <c r="G52" s="4"/>
    </row>
    <row r="53" spans="1:7" x14ac:dyDescent="0.25">
      <c r="A53" s="16" t="s">
        <v>65</v>
      </c>
      <c r="B53" s="6"/>
      <c r="C53" s="6"/>
      <c r="D53" s="6"/>
      <c r="E53" s="6"/>
      <c r="F53" s="6"/>
      <c r="G53" s="4"/>
    </row>
    <row r="54" spans="1:7" x14ac:dyDescent="0.25">
      <c r="A54" s="16" t="s">
        <v>29</v>
      </c>
      <c r="B54" s="6">
        <f>B20/B18*100</f>
        <v>0</v>
      </c>
      <c r="C54" s="6">
        <f>C20/C18*100</f>
        <v>0</v>
      </c>
      <c r="D54" s="6">
        <f t="shared" ref="D54:F54" si="4">D20/D18*100</f>
        <v>0</v>
      </c>
      <c r="E54" s="6" t="e">
        <f t="shared" si="4"/>
        <v>#DIV/0!</v>
      </c>
      <c r="F54" s="6">
        <f t="shared" si="4"/>
        <v>0</v>
      </c>
      <c r="G54" s="4"/>
    </row>
    <row r="55" spans="1:7" x14ac:dyDescent="0.25">
      <c r="A55" s="16"/>
      <c r="B55" s="6"/>
      <c r="C55" s="6"/>
      <c r="D55" s="6"/>
      <c r="E55" s="6"/>
      <c r="F55" s="6"/>
      <c r="G55" s="4"/>
    </row>
    <row r="56" spans="1:7" x14ac:dyDescent="0.25">
      <c r="A56" s="16" t="s">
        <v>30</v>
      </c>
      <c r="B56" s="6"/>
      <c r="C56" s="6"/>
      <c r="D56" s="6"/>
      <c r="E56" s="6"/>
      <c r="F56" s="6"/>
      <c r="G56" s="4"/>
    </row>
    <row r="57" spans="1:7" x14ac:dyDescent="0.25">
      <c r="A57" s="16" t="s">
        <v>31</v>
      </c>
      <c r="B57" s="6">
        <f>((B12/B10)-1)*100</f>
        <v>3.6036036036036112</v>
      </c>
      <c r="C57" s="6">
        <f>((C12/C10)-1)*100</f>
        <v>2.3208879919273562</v>
      </c>
      <c r="D57" s="6"/>
      <c r="E57" s="6"/>
      <c r="F57" s="6"/>
      <c r="G57" s="4"/>
    </row>
    <row r="58" spans="1:7" x14ac:dyDescent="0.25">
      <c r="A58" s="16" t="s">
        <v>32</v>
      </c>
      <c r="B58" s="6">
        <f>((B33/B32)-1)*100</f>
        <v>-13.918455553204423</v>
      </c>
      <c r="C58" s="6">
        <f>((C33/C32)-1)*100</f>
        <v>-13.918455553204423</v>
      </c>
      <c r="D58" s="6"/>
      <c r="E58" s="6"/>
      <c r="F58" s="6"/>
      <c r="G58" s="4"/>
    </row>
    <row r="59" spans="1:7" x14ac:dyDescent="0.25">
      <c r="A59" s="16" t="s">
        <v>33</v>
      </c>
      <c r="B59" s="6">
        <f>((B35/B34)-1)*100</f>
        <v>-16.912596229614696</v>
      </c>
      <c r="C59" s="6">
        <f>((C35/C34)-1)*100</f>
        <v>-15.870995516001562</v>
      </c>
      <c r="D59" s="6"/>
      <c r="E59" s="6"/>
      <c r="F59" s="6"/>
      <c r="G59" s="4"/>
    </row>
    <row r="60" spans="1:7" x14ac:dyDescent="0.25">
      <c r="A60" s="16"/>
      <c r="B60" s="6"/>
      <c r="C60" s="6"/>
      <c r="D60" s="6"/>
      <c r="E60" s="6"/>
      <c r="F60" s="6"/>
      <c r="G60" s="4"/>
    </row>
    <row r="61" spans="1:7" x14ac:dyDescent="0.25">
      <c r="A61" s="16" t="s">
        <v>34</v>
      </c>
      <c r="B61" s="6"/>
      <c r="C61" s="6"/>
      <c r="D61" s="6"/>
      <c r="E61" s="6"/>
      <c r="F61" s="6"/>
      <c r="G61" s="4"/>
    </row>
    <row r="62" spans="1:7" x14ac:dyDescent="0.25">
      <c r="A62" s="16" t="s">
        <v>66</v>
      </c>
      <c r="B62" s="6">
        <f>B17/(C11*3)</f>
        <v>52459.637983333334</v>
      </c>
      <c r="C62" s="6"/>
      <c r="D62" s="6"/>
      <c r="E62" s="6"/>
      <c r="F62" s="6"/>
      <c r="G62" s="4"/>
    </row>
    <row r="63" spans="1:7" x14ac:dyDescent="0.25">
      <c r="A63" s="16" t="s">
        <v>67</v>
      </c>
      <c r="B63" s="6">
        <f>B18/(C12*3)</f>
        <v>57059.835621301776</v>
      </c>
      <c r="C63" s="6"/>
      <c r="D63" s="4"/>
    </row>
    <row r="64" spans="1:7" x14ac:dyDescent="0.25">
      <c r="A64" s="16" t="s">
        <v>35</v>
      </c>
      <c r="B64" s="6">
        <f>(B62/B63)*B46</f>
        <v>81.898237037449022</v>
      </c>
      <c r="C64" s="6"/>
      <c r="D64" s="6"/>
      <c r="E64" s="6"/>
      <c r="F64" s="6"/>
      <c r="G64" s="4"/>
    </row>
    <row r="65" spans="1:8" x14ac:dyDescent="0.25">
      <c r="A65" s="14" t="s">
        <v>68</v>
      </c>
      <c r="B65" s="6">
        <f>B17/C11</f>
        <v>157378.91394999999</v>
      </c>
      <c r="C65" s="6"/>
      <c r="D65" s="6"/>
      <c r="E65" s="6"/>
      <c r="F65" s="6"/>
      <c r="G65" s="4"/>
    </row>
    <row r="66" spans="1:8" x14ac:dyDescent="0.25">
      <c r="A66" s="14" t="s">
        <v>69</v>
      </c>
      <c r="B66" s="6">
        <f>B18/C12</f>
        <v>171179.50686390532</v>
      </c>
      <c r="C66" s="6"/>
      <c r="D66" s="6"/>
      <c r="E66" s="6"/>
      <c r="F66" s="6"/>
      <c r="G66" s="4"/>
    </row>
    <row r="67" spans="1:8" x14ac:dyDescent="0.25">
      <c r="B67" s="6"/>
      <c r="C67" s="6"/>
      <c r="D67" s="6"/>
      <c r="E67" s="6"/>
      <c r="F67" s="6"/>
      <c r="G67" s="4"/>
    </row>
    <row r="68" spans="1:8" x14ac:dyDescent="0.25">
      <c r="A68" t="s">
        <v>36</v>
      </c>
      <c r="B68" s="6"/>
      <c r="C68" s="6"/>
      <c r="D68" s="6"/>
      <c r="E68" s="6"/>
      <c r="F68" s="6"/>
      <c r="G68" s="4"/>
    </row>
    <row r="69" spans="1:8" x14ac:dyDescent="0.25">
      <c r="A69" t="s">
        <v>37</v>
      </c>
      <c r="B69" s="6">
        <f>(B24/B23)*100</f>
        <v>97.899294373672987</v>
      </c>
      <c r="C69" s="6"/>
      <c r="D69" s="6"/>
      <c r="E69" s="6"/>
      <c r="F69" s="6"/>
      <c r="G69" s="4"/>
      <c r="H69" s="8"/>
    </row>
    <row r="70" spans="1:8" x14ac:dyDescent="0.25">
      <c r="A70" t="s">
        <v>38</v>
      </c>
      <c r="B70" s="6">
        <f>(B18/B24)*100</f>
        <v>93.88200894614161</v>
      </c>
      <c r="C70" s="6"/>
      <c r="D70" s="6"/>
      <c r="E70" s="6"/>
      <c r="F70" s="6"/>
      <c r="G70" s="4"/>
      <c r="H70" s="8"/>
    </row>
    <row r="71" spans="1:8" ht="15.75" thickBot="1" x14ac:dyDescent="0.3">
      <c r="A71" s="9"/>
      <c r="B71" s="9"/>
      <c r="C71" s="9"/>
      <c r="D71" s="9"/>
      <c r="E71" s="9"/>
      <c r="F71" s="9"/>
    </row>
    <row r="72" spans="1:8" ht="15.75" thickTop="1" x14ac:dyDescent="0.25"/>
    <row r="73" spans="1:8" x14ac:dyDescent="0.25">
      <c r="A73" s="10" t="s">
        <v>39</v>
      </c>
    </row>
    <row r="74" spans="1:8" x14ac:dyDescent="0.25">
      <c r="A74" s="10" t="s">
        <v>85</v>
      </c>
    </row>
    <row r="75" spans="1:8" x14ac:dyDescent="0.25">
      <c r="A75" s="11" t="s">
        <v>86</v>
      </c>
      <c r="B75" s="12"/>
      <c r="C75" s="12"/>
      <c r="D75" s="12"/>
      <c r="E75" s="12"/>
    </row>
    <row r="76" spans="1:8" x14ac:dyDescent="0.25">
      <c r="A76" s="11" t="s">
        <v>74</v>
      </c>
      <c r="B76" s="12"/>
      <c r="C76" s="12"/>
      <c r="D76" s="12"/>
      <c r="E76" s="12"/>
    </row>
    <row r="77" spans="1:8" x14ac:dyDescent="0.25">
      <c r="A77" t="s">
        <v>129</v>
      </c>
    </row>
    <row r="78" spans="1:8" x14ac:dyDescent="0.25">
      <c r="A78" s="15" t="s">
        <v>75</v>
      </c>
    </row>
    <row r="79" spans="1:8" x14ac:dyDescent="0.25">
      <c r="A79" s="15" t="s">
        <v>76</v>
      </c>
    </row>
  </sheetData>
  <mergeCells count="5">
    <mergeCell ref="A2:F2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topLeftCell="A61" workbookViewId="0">
      <selection activeCell="C40" sqref="C40"/>
    </sheetView>
  </sheetViews>
  <sheetFormatPr baseColWidth="10" defaultRowHeight="15" x14ac:dyDescent="0.25"/>
  <cols>
    <col min="1" max="1" width="55.140625" style="16" customWidth="1"/>
    <col min="2" max="2" width="14.7109375" style="16" bestFit="1" customWidth="1"/>
    <col min="3" max="3" width="13.85546875" style="16" customWidth="1"/>
    <col min="4" max="4" width="20.7109375" style="16" customWidth="1"/>
    <col min="5" max="5" width="13.7109375" style="16" customWidth="1"/>
    <col min="6" max="7" width="13.7109375" style="16" bestFit="1" customWidth="1"/>
    <col min="8" max="16384" width="11.42578125" style="16"/>
  </cols>
  <sheetData>
    <row r="2" spans="1:7" ht="15.75" x14ac:dyDescent="0.25">
      <c r="A2" s="39" t="s">
        <v>101</v>
      </c>
      <c r="B2" s="39"/>
      <c r="C2" s="39"/>
      <c r="D2" s="39"/>
      <c r="E2" s="39"/>
      <c r="F2" s="39"/>
    </row>
    <row r="4" spans="1:7" ht="15" customHeight="1" x14ac:dyDescent="0.25">
      <c r="A4" s="40" t="s">
        <v>0</v>
      </c>
      <c r="B4" s="42" t="s">
        <v>1</v>
      </c>
      <c r="C4" s="42" t="s">
        <v>44</v>
      </c>
      <c r="D4" s="44" t="s">
        <v>2</v>
      </c>
      <c r="E4" s="44"/>
      <c r="F4" s="44"/>
    </row>
    <row r="5" spans="1:7" ht="15.75" thickBot="1" x14ac:dyDescent="0.3">
      <c r="A5" s="41"/>
      <c r="B5" s="43"/>
      <c r="C5" s="43"/>
      <c r="D5" s="17" t="s">
        <v>3</v>
      </c>
      <c r="E5" s="18" t="s">
        <v>4</v>
      </c>
      <c r="F5" s="18" t="s">
        <v>5</v>
      </c>
    </row>
    <row r="6" spans="1:7" ht="15.75" thickTop="1" x14ac:dyDescent="0.25"/>
    <row r="7" spans="1:7" x14ac:dyDescent="0.25">
      <c r="A7" s="19" t="s">
        <v>6</v>
      </c>
    </row>
    <row r="8" spans="1:7" x14ac:dyDescent="0.25">
      <c r="B8" s="6"/>
      <c r="C8" s="6"/>
      <c r="D8" s="6"/>
      <c r="E8" s="6"/>
      <c r="F8" s="6"/>
      <c r="G8" s="6"/>
    </row>
    <row r="9" spans="1:7" x14ac:dyDescent="0.25">
      <c r="A9" s="16" t="s">
        <v>7</v>
      </c>
      <c r="B9" s="6"/>
      <c r="C9" s="6"/>
      <c r="D9" s="6"/>
      <c r="E9" s="6"/>
      <c r="F9" s="6"/>
      <c r="G9" s="6"/>
    </row>
    <row r="10" spans="1:7" x14ac:dyDescent="0.25">
      <c r="A10" s="20" t="s">
        <v>49</v>
      </c>
      <c r="B10" s="13">
        <v>320</v>
      </c>
      <c r="C10" s="13">
        <v>320</v>
      </c>
      <c r="D10" s="6"/>
      <c r="E10" s="6"/>
      <c r="F10" s="6"/>
      <c r="G10" s="6"/>
    </row>
    <row r="11" spans="1:7" x14ac:dyDescent="0.25">
      <c r="A11" s="20" t="s">
        <v>102</v>
      </c>
      <c r="B11" s="13">
        <v>400</v>
      </c>
      <c r="C11" s="13">
        <v>400</v>
      </c>
      <c r="D11" s="6"/>
      <c r="E11" s="6"/>
      <c r="F11" s="6"/>
      <c r="G11" s="6"/>
    </row>
    <row r="12" spans="1:7" x14ac:dyDescent="0.25">
      <c r="A12" s="20" t="s">
        <v>103</v>
      </c>
      <c r="B12" s="13">
        <v>325</v>
      </c>
      <c r="C12" s="13">
        <v>325</v>
      </c>
      <c r="D12" s="6"/>
    </row>
    <row r="13" spans="1:7" x14ac:dyDescent="0.25">
      <c r="A13" s="20" t="s">
        <v>80</v>
      </c>
      <c r="B13" s="13">
        <v>400</v>
      </c>
      <c r="C13" s="13">
        <v>400</v>
      </c>
      <c r="D13" s="6"/>
      <c r="E13" s="6"/>
      <c r="F13" s="6"/>
      <c r="G13" s="6"/>
    </row>
    <row r="14" spans="1:7" x14ac:dyDescent="0.25">
      <c r="B14" s="6"/>
      <c r="C14" s="6"/>
      <c r="D14" s="6"/>
      <c r="E14" s="6"/>
      <c r="F14" s="6"/>
      <c r="G14" s="6"/>
    </row>
    <row r="15" spans="1:7" x14ac:dyDescent="0.25">
      <c r="A15" s="21" t="s">
        <v>9</v>
      </c>
      <c r="B15" s="6"/>
      <c r="C15" s="6"/>
      <c r="D15" s="6"/>
      <c r="E15" s="6"/>
      <c r="F15" s="6"/>
      <c r="G15" s="6"/>
    </row>
    <row r="16" spans="1:7" x14ac:dyDescent="0.25">
      <c r="A16" s="20" t="s">
        <v>49</v>
      </c>
      <c r="B16" s="13">
        <v>224668633.21000001</v>
      </c>
      <c r="C16" s="13">
        <f>B16/3</f>
        <v>74889544.403333336</v>
      </c>
      <c r="D16" s="13">
        <v>24808821.16</v>
      </c>
      <c r="E16" s="13">
        <v>21028718.370000001</v>
      </c>
      <c r="F16" s="13">
        <v>178831093.68000001</v>
      </c>
      <c r="G16" s="6"/>
    </row>
    <row r="17" spans="1:8" x14ac:dyDescent="0.25">
      <c r="A17" s="20" t="s">
        <v>102</v>
      </c>
      <c r="B17" s="13">
        <f>SUM(D17:F17)</f>
        <v>38908920</v>
      </c>
      <c r="C17" s="13">
        <f t="shared" ref="C17:C19" si="0">B17/3</f>
        <v>12969640</v>
      </c>
      <c r="D17" s="13">
        <v>38908920</v>
      </c>
      <c r="E17" s="13">
        <v>0</v>
      </c>
      <c r="F17" s="13">
        <v>0</v>
      </c>
      <c r="G17" s="6"/>
    </row>
    <row r="18" spans="1:8" x14ac:dyDescent="0.25">
      <c r="A18" s="20" t="s">
        <v>103</v>
      </c>
      <c r="B18" s="13">
        <f>SUM(D18:F18)</f>
        <v>114956268.73000002</v>
      </c>
      <c r="C18" s="13">
        <f t="shared" si="0"/>
        <v>38318756.24333334</v>
      </c>
      <c r="D18" s="13">
        <v>55181574.960000008</v>
      </c>
      <c r="E18" s="31">
        <v>37624693.770000003</v>
      </c>
      <c r="F18" s="32">
        <v>22150000</v>
      </c>
      <c r="G18" s="6"/>
    </row>
    <row r="19" spans="1:8" x14ac:dyDescent="0.25">
      <c r="A19" s="20" t="s">
        <v>80</v>
      </c>
      <c r="B19" s="13">
        <f>SUM(D19:F19)</f>
        <v>425976033.19999999</v>
      </c>
      <c r="C19" s="13">
        <f t="shared" si="0"/>
        <v>141992011.06666666</v>
      </c>
      <c r="D19" s="13">
        <v>172181220</v>
      </c>
      <c r="E19" s="13">
        <v>125169084.58</v>
      </c>
      <c r="F19" s="13">
        <v>128625728.62</v>
      </c>
      <c r="G19" s="6"/>
    </row>
    <row r="20" spans="1:8" x14ac:dyDescent="0.25">
      <c r="A20" s="20" t="s">
        <v>104</v>
      </c>
      <c r="B20" s="6"/>
      <c r="C20" s="6"/>
      <c r="D20" s="6"/>
      <c r="E20" s="6"/>
      <c r="F20" s="6"/>
      <c r="G20" s="6"/>
    </row>
    <row r="21" spans="1:8" x14ac:dyDescent="0.25">
      <c r="B21" s="6"/>
      <c r="C21" s="6"/>
      <c r="D21" s="6"/>
      <c r="E21" s="6"/>
      <c r="F21" s="6"/>
      <c r="G21" s="6"/>
    </row>
    <row r="22" spans="1:8" x14ac:dyDescent="0.25">
      <c r="A22" s="20" t="s">
        <v>10</v>
      </c>
      <c r="B22" s="6"/>
      <c r="C22" s="6"/>
      <c r="D22" s="6"/>
      <c r="E22" s="6"/>
      <c r="F22" s="6"/>
      <c r="G22" s="6"/>
    </row>
    <row r="23" spans="1:8" x14ac:dyDescent="0.25">
      <c r="A23" s="20" t="s">
        <v>102</v>
      </c>
      <c r="B23" s="6">
        <f>B17</f>
        <v>38908920</v>
      </c>
      <c r="C23" s="6"/>
      <c r="D23" s="6"/>
      <c r="E23" s="6"/>
      <c r="F23" s="6"/>
      <c r="G23" s="6"/>
      <c r="H23" s="22"/>
    </row>
    <row r="24" spans="1:8" x14ac:dyDescent="0.25">
      <c r="A24" s="20" t="s">
        <v>103</v>
      </c>
      <c r="B24" s="13">
        <v>452776790</v>
      </c>
      <c r="C24" s="6"/>
      <c r="D24" s="6"/>
      <c r="E24" s="6"/>
      <c r="F24" s="6"/>
      <c r="G24" s="6"/>
      <c r="H24" s="22"/>
    </row>
    <row r="25" spans="1:8" x14ac:dyDescent="0.25">
      <c r="B25" s="6"/>
      <c r="C25" s="6"/>
      <c r="D25" s="6"/>
      <c r="E25" s="6"/>
      <c r="F25" s="6"/>
      <c r="G25" s="6"/>
    </row>
    <row r="26" spans="1:8" x14ac:dyDescent="0.25">
      <c r="A26" s="16" t="s">
        <v>11</v>
      </c>
      <c r="B26" s="6"/>
      <c r="C26" s="6"/>
      <c r="D26" s="6"/>
      <c r="E26" s="6"/>
      <c r="F26" s="6"/>
      <c r="G26" s="6"/>
    </row>
    <row r="27" spans="1:8" x14ac:dyDescent="0.25">
      <c r="A27" s="16" t="s">
        <v>50</v>
      </c>
      <c r="B27" s="6">
        <v>1.4880743485666665</v>
      </c>
      <c r="C27" s="6">
        <v>1.4880743485666665</v>
      </c>
      <c r="D27" s="6">
        <v>1.4880743485666665</v>
      </c>
      <c r="E27" s="6">
        <v>1.4880743485666665</v>
      </c>
      <c r="F27" s="6">
        <v>1.4880743485666665</v>
      </c>
      <c r="G27" s="6"/>
    </row>
    <row r="28" spans="1:8" x14ac:dyDescent="0.25">
      <c r="A28" s="16" t="s">
        <v>105</v>
      </c>
      <c r="B28" s="6">
        <v>1.56</v>
      </c>
      <c r="C28" s="6">
        <v>1.56</v>
      </c>
      <c r="D28" s="6">
        <v>1.56</v>
      </c>
      <c r="E28" s="6">
        <v>1.56</v>
      </c>
      <c r="F28" s="6">
        <v>1.56</v>
      </c>
      <c r="G28" s="6"/>
    </row>
    <row r="29" spans="1:8" x14ac:dyDescent="0.25">
      <c r="A29" s="16" t="s">
        <v>13</v>
      </c>
      <c r="B29" s="13"/>
      <c r="C29" s="13"/>
      <c r="D29" s="13"/>
      <c r="E29" s="13"/>
      <c r="F29" s="13"/>
      <c r="G29" s="6"/>
    </row>
    <row r="30" spans="1:8" x14ac:dyDescent="0.25">
      <c r="B30" s="6"/>
      <c r="C30" s="6"/>
      <c r="D30" s="6"/>
      <c r="E30" s="6"/>
      <c r="F30" s="6"/>
      <c r="G30" s="6"/>
    </row>
    <row r="31" spans="1:8" x14ac:dyDescent="0.25">
      <c r="A31" s="16" t="s">
        <v>14</v>
      </c>
      <c r="B31" s="6"/>
      <c r="C31" s="6"/>
      <c r="D31" s="6"/>
      <c r="E31" s="6"/>
      <c r="F31" s="6"/>
      <c r="G31" s="6"/>
    </row>
    <row r="32" spans="1:8" x14ac:dyDescent="0.25">
      <c r="A32" s="16" t="s">
        <v>51</v>
      </c>
      <c r="B32" s="6">
        <f>B16/B27</f>
        <v>150979440.93075988</v>
      </c>
      <c r="C32" s="6">
        <f>C16/C27</f>
        <v>50326480.310253292</v>
      </c>
      <c r="D32" s="6"/>
      <c r="E32" s="6"/>
      <c r="F32" s="6"/>
      <c r="G32" s="6"/>
    </row>
    <row r="33" spans="1:7" x14ac:dyDescent="0.25">
      <c r="A33" s="16" t="s">
        <v>106</v>
      </c>
      <c r="B33" s="6">
        <f>B18/B28</f>
        <v>73689915.852564111</v>
      </c>
      <c r="C33" s="6">
        <f>C18/C28</f>
        <v>24563305.284188036</v>
      </c>
      <c r="D33" s="6">
        <f>D18/D28</f>
        <v>35372804.461538464</v>
      </c>
      <c r="E33" s="6">
        <f>E18/E28</f>
        <v>24118393.442307692</v>
      </c>
      <c r="F33" s="6">
        <f t="shared" ref="F33" si="1">F18/F28</f>
        <v>14198717.948717948</v>
      </c>
      <c r="G33" s="6"/>
    </row>
    <row r="34" spans="1:7" x14ac:dyDescent="0.25">
      <c r="A34" s="16" t="s">
        <v>52</v>
      </c>
      <c r="B34" s="6">
        <f>B32/B10</f>
        <v>471810.75290862459</v>
      </c>
      <c r="C34" s="6">
        <f>B32/C10</f>
        <v>471810.75290862459</v>
      </c>
      <c r="D34" s="6"/>
      <c r="E34" s="6"/>
      <c r="F34" s="6"/>
      <c r="G34" s="6"/>
    </row>
    <row r="35" spans="1:7" x14ac:dyDescent="0.25">
      <c r="A35" s="16" t="s">
        <v>107</v>
      </c>
      <c r="B35" s="6">
        <f>B33/B12</f>
        <v>226738.20262327418</v>
      </c>
      <c r="C35" s="6">
        <f>B33/C12</f>
        <v>226738.20262327418</v>
      </c>
      <c r="D35" s="6"/>
    </row>
    <row r="36" spans="1:7" x14ac:dyDescent="0.25">
      <c r="B36" s="6"/>
      <c r="C36" s="6"/>
      <c r="D36" s="6"/>
      <c r="E36" s="6"/>
      <c r="F36" s="6"/>
      <c r="G36" s="6"/>
    </row>
    <row r="37" spans="1:7" x14ac:dyDescent="0.25">
      <c r="A37" s="19" t="s">
        <v>17</v>
      </c>
      <c r="B37" s="6"/>
      <c r="C37" s="6"/>
      <c r="D37" s="6"/>
      <c r="E37" s="6"/>
      <c r="F37" s="6"/>
      <c r="G37" s="6"/>
    </row>
    <row r="38" spans="1:7" x14ac:dyDescent="0.25">
      <c r="B38" s="6"/>
      <c r="C38" s="6"/>
      <c r="D38" s="6"/>
      <c r="E38" s="6"/>
      <c r="F38" s="6"/>
      <c r="G38" s="6"/>
    </row>
    <row r="39" spans="1:7" x14ac:dyDescent="0.25">
      <c r="A39" s="16" t="s">
        <v>18</v>
      </c>
      <c r="B39" s="6"/>
      <c r="C39" s="6"/>
      <c r="D39" s="6"/>
      <c r="E39" s="6"/>
      <c r="F39" s="6"/>
      <c r="G39" s="6"/>
    </row>
    <row r="40" spans="1:7" x14ac:dyDescent="0.25">
      <c r="A40" s="16" t="s">
        <v>19</v>
      </c>
      <c r="B40" s="6" t="s">
        <v>130</v>
      </c>
      <c r="C40" s="6" t="s">
        <v>130</v>
      </c>
      <c r="D40" s="6" t="s">
        <v>130</v>
      </c>
      <c r="E40" s="6" t="s">
        <v>130</v>
      </c>
      <c r="F40" s="6" t="s">
        <v>130</v>
      </c>
      <c r="G40" s="6"/>
    </row>
    <row r="41" spans="1:7" x14ac:dyDescent="0.25">
      <c r="A41" s="16" t="s">
        <v>20</v>
      </c>
      <c r="B41" s="6" t="s">
        <v>130</v>
      </c>
      <c r="C41" s="6" t="s">
        <v>130</v>
      </c>
      <c r="D41" s="6" t="s">
        <v>130</v>
      </c>
      <c r="E41" s="6" t="s">
        <v>130</v>
      </c>
      <c r="F41" s="6" t="s">
        <v>130</v>
      </c>
      <c r="G41" s="6"/>
    </row>
    <row r="42" spans="1:7" x14ac:dyDescent="0.25">
      <c r="B42" s="6"/>
      <c r="C42" s="6"/>
      <c r="D42" s="6"/>
      <c r="E42" s="6"/>
      <c r="F42" s="6"/>
      <c r="G42" s="6"/>
    </row>
    <row r="43" spans="1:7" x14ac:dyDescent="0.25">
      <c r="A43" s="16" t="s">
        <v>21</v>
      </c>
      <c r="B43" s="6"/>
      <c r="C43" s="6"/>
      <c r="D43" s="6"/>
      <c r="E43" s="6"/>
      <c r="F43" s="6"/>
      <c r="G43" s="6"/>
    </row>
    <row r="44" spans="1:7" x14ac:dyDescent="0.25">
      <c r="A44" s="16" t="s">
        <v>22</v>
      </c>
      <c r="B44" s="6">
        <f>B12/B11*100</f>
        <v>81.25</v>
      </c>
      <c r="C44" s="6">
        <f>C12/C11*100</f>
        <v>81.25</v>
      </c>
      <c r="D44" s="6"/>
      <c r="E44" s="6"/>
      <c r="F44" s="6"/>
      <c r="G44" s="6"/>
    </row>
    <row r="45" spans="1:7" x14ac:dyDescent="0.25">
      <c r="A45" s="16" t="s">
        <v>23</v>
      </c>
      <c r="B45" s="6">
        <f>B18/B17*100</f>
        <v>295.44965198211622</v>
      </c>
      <c r="C45" s="6">
        <f>C18/C17*100</f>
        <v>295.44965198211622</v>
      </c>
      <c r="D45" s="6">
        <f>D18/D17*100</f>
        <v>141.82242776206587</v>
      </c>
      <c r="E45" s="6" t="e">
        <f t="shared" ref="E45" si="2">E18/E17*100</f>
        <v>#DIV/0!</v>
      </c>
      <c r="F45" s="6" t="e">
        <f>F18/F17*100</f>
        <v>#DIV/0!</v>
      </c>
      <c r="G45" s="6"/>
    </row>
    <row r="46" spans="1:7" x14ac:dyDescent="0.25">
      <c r="A46" s="16" t="s">
        <v>24</v>
      </c>
      <c r="B46" s="6">
        <f>AVERAGE(B44:B45)</f>
        <v>188.34982599105811</v>
      </c>
      <c r="C46" s="6">
        <f>AVERAGE(C44:C45)</f>
        <v>188.34982599105811</v>
      </c>
      <c r="D46" s="6"/>
      <c r="E46" s="6"/>
      <c r="F46" s="6"/>
      <c r="G46" s="6"/>
    </row>
    <row r="47" spans="1:7" x14ac:dyDescent="0.25">
      <c r="B47" s="6"/>
      <c r="C47" s="6"/>
      <c r="D47" s="6"/>
      <c r="E47" s="6"/>
      <c r="F47" s="6"/>
      <c r="G47" s="6"/>
    </row>
    <row r="48" spans="1:7" x14ac:dyDescent="0.25">
      <c r="A48" s="16" t="s">
        <v>25</v>
      </c>
      <c r="B48" s="6"/>
      <c r="C48" s="6"/>
      <c r="D48" s="6"/>
      <c r="E48" s="6"/>
      <c r="F48" s="6"/>
      <c r="G48" s="6"/>
    </row>
    <row r="49" spans="1:7" x14ac:dyDescent="0.25">
      <c r="A49" s="16" t="s">
        <v>26</v>
      </c>
      <c r="B49" s="6">
        <f>(B12*3)/(B13*12)*100</f>
        <v>20.3125</v>
      </c>
      <c r="C49" s="6">
        <f>(C12*3)/(C13*12)*100</f>
        <v>20.3125</v>
      </c>
      <c r="D49" s="6"/>
      <c r="E49" s="6"/>
      <c r="F49" s="6"/>
      <c r="G49" s="6"/>
    </row>
    <row r="50" spans="1:7" x14ac:dyDescent="0.25">
      <c r="A50" s="16" t="s">
        <v>27</v>
      </c>
      <c r="B50" s="6">
        <f>B18/B19*100</f>
        <v>26.98655787426118</v>
      </c>
      <c r="C50" s="6">
        <f>C18/C19*100</f>
        <v>26.98655787426118</v>
      </c>
      <c r="D50" s="6">
        <f>D18/D19*100</f>
        <v>32.048544527678459</v>
      </c>
      <c r="E50" s="6">
        <f t="shared" ref="E50:F50" si="3">E18/E19*100</f>
        <v>30.059094780670641</v>
      </c>
      <c r="F50" s="6">
        <f t="shared" si="3"/>
        <v>17.220504978003209</v>
      </c>
      <c r="G50" s="6"/>
    </row>
    <row r="51" spans="1:7" x14ac:dyDescent="0.25">
      <c r="A51" s="16" t="s">
        <v>28</v>
      </c>
      <c r="B51" s="6">
        <f>(B49+B50)/2</f>
        <v>23.64952893713059</v>
      </c>
      <c r="C51" s="6">
        <f>(C49+C50)/2</f>
        <v>23.64952893713059</v>
      </c>
      <c r="D51" s="6"/>
      <c r="E51" s="6"/>
      <c r="F51" s="6"/>
      <c r="G51" s="6"/>
    </row>
    <row r="52" spans="1:7" x14ac:dyDescent="0.25">
      <c r="B52" s="6"/>
      <c r="C52" s="6"/>
      <c r="D52" s="6"/>
      <c r="E52" s="6"/>
      <c r="F52" s="6"/>
      <c r="G52" s="6"/>
    </row>
    <row r="53" spans="1:7" x14ac:dyDescent="0.25">
      <c r="A53" s="16" t="s">
        <v>65</v>
      </c>
      <c r="B53" s="6"/>
      <c r="C53" s="6"/>
      <c r="D53" s="6"/>
      <c r="E53" s="6"/>
      <c r="F53" s="6"/>
      <c r="G53" s="6"/>
    </row>
    <row r="54" spans="1:7" x14ac:dyDescent="0.25">
      <c r="A54" s="16" t="s">
        <v>29</v>
      </c>
      <c r="B54" s="6">
        <f>B20/B18*100</f>
        <v>0</v>
      </c>
      <c r="C54" s="6">
        <f>C20/C18*100</f>
        <v>0</v>
      </c>
      <c r="D54" s="6">
        <f t="shared" ref="D54:F54" si="4">D20/D18*100</f>
        <v>0</v>
      </c>
      <c r="E54" s="6">
        <f t="shared" si="4"/>
        <v>0</v>
      </c>
      <c r="F54" s="6">
        <f t="shared" si="4"/>
        <v>0</v>
      </c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A56" s="16" t="s">
        <v>30</v>
      </c>
      <c r="B56" s="6"/>
      <c r="C56" s="6"/>
      <c r="D56" s="6"/>
      <c r="E56" s="6"/>
      <c r="F56" s="6"/>
      <c r="G56" s="6"/>
    </row>
    <row r="57" spans="1:7" x14ac:dyDescent="0.25">
      <c r="A57" s="16" t="s">
        <v>31</v>
      </c>
      <c r="B57" s="6">
        <f>((B12/B10)-1)*100</f>
        <v>1.5625</v>
      </c>
      <c r="C57" s="6">
        <f>((C12/C10)-1)*100</f>
        <v>1.5625</v>
      </c>
      <c r="D57" s="6"/>
      <c r="E57" s="6"/>
      <c r="F57" s="6"/>
      <c r="G57" s="6"/>
    </row>
    <row r="58" spans="1:7" x14ac:dyDescent="0.25">
      <c r="A58" s="16" t="s">
        <v>32</v>
      </c>
      <c r="B58" s="6">
        <f>((B33/B32)-1)*100</f>
        <v>-51.192085890449967</v>
      </c>
      <c r="C58" s="6">
        <f>((C33/C32)-1)*100</f>
        <v>-51.192085890449967</v>
      </c>
      <c r="D58" s="6"/>
      <c r="E58" s="6"/>
      <c r="F58" s="6"/>
      <c r="G58" s="6"/>
    </row>
    <row r="59" spans="1:7" x14ac:dyDescent="0.25">
      <c r="A59" s="16" t="s">
        <v>33</v>
      </c>
      <c r="B59" s="6">
        <f>((B35/B34)-1)*100</f>
        <v>-51.942976876750734</v>
      </c>
      <c r="C59" s="6">
        <f>((C35/C34)-1)*100</f>
        <v>-51.942976876750734</v>
      </c>
      <c r="D59" s="6"/>
      <c r="E59" s="6"/>
      <c r="F59" s="6"/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A61" s="16" t="s">
        <v>34</v>
      </c>
      <c r="B61" s="6"/>
      <c r="C61" s="6"/>
      <c r="D61" s="6"/>
      <c r="E61" s="6"/>
      <c r="F61" s="6"/>
      <c r="G61" s="6"/>
    </row>
    <row r="62" spans="1:7" x14ac:dyDescent="0.25">
      <c r="A62" s="16" t="s">
        <v>66</v>
      </c>
      <c r="B62" s="6">
        <f>B17/(C11*3)</f>
        <v>32424.1</v>
      </c>
      <c r="C62" s="6"/>
      <c r="D62" s="6"/>
      <c r="E62" s="6"/>
      <c r="F62" s="6"/>
      <c r="G62" s="6"/>
    </row>
    <row r="63" spans="1:7" x14ac:dyDescent="0.25">
      <c r="A63" s="16" t="s">
        <v>67</v>
      </c>
      <c r="B63" s="6">
        <f>B18/(C12*3)</f>
        <v>117903.86536410259</v>
      </c>
      <c r="C63" s="6"/>
      <c r="D63" s="6"/>
    </row>
    <row r="64" spans="1:7" x14ac:dyDescent="0.25">
      <c r="A64" s="16" t="s">
        <v>35</v>
      </c>
      <c r="B64" s="6">
        <f>(B62/B63)*B46</f>
        <v>51.797060037490915</v>
      </c>
      <c r="C64" s="6"/>
      <c r="D64" s="6"/>
      <c r="E64" s="6"/>
      <c r="F64" s="6"/>
      <c r="G64" s="6"/>
    </row>
    <row r="65" spans="1:8" x14ac:dyDescent="0.25">
      <c r="A65" s="14" t="s">
        <v>68</v>
      </c>
      <c r="B65" s="6">
        <f>B17/C11</f>
        <v>97272.3</v>
      </c>
      <c r="C65" s="6"/>
      <c r="D65" s="6"/>
      <c r="E65" s="6"/>
      <c r="F65" s="6"/>
      <c r="G65" s="6"/>
    </row>
    <row r="66" spans="1:8" x14ac:dyDescent="0.25">
      <c r="A66" s="14" t="s">
        <v>69</v>
      </c>
      <c r="B66" s="6">
        <f>B18/C12</f>
        <v>353711.59609230777</v>
      </c>
      <c r="C66" s="6"/>
      <c r="D66" s="6"/>
      <c r="E66" s="6"/>
      <c r="F66" s="6"/>
      <c r="G66" s="6"/>
    </row>
    <row r="67" spans="1:8" x14ac:dyDescent="0.25">
      <c r="B67" s="6"/>
      <c r="C67" s="6"/>
      <c r="D67" s="6"/>
      <c r="E67" s="6"/>
      <c r="F67" s="6"/>
      <c r="G67" s="6"/>
    </row>
    <row r="68" spans="1:8" x14ac:dyDescent="0.25">
      <c r="A68" s="16" t="s">
        <v>36</v>
      </c>
      <c r="B68" s="6"/>
      <c r="C68" s="6"/>
      <c r="D68" s="6"/>
      <c r="E68" s="6"/>
      <c r="F68" s="6"/>
      <c r="G68" s="6"/>
    </row>
    <row r="69" spans="1:8" x14ac:dyDescent="0.25">
      <c r="A69" s="16" t="s">
        <v>37</v>
      </c>
      <c r="B69" s="6">
        <f>(B24/B23)*100</f>
        <v>1163.6837773960317</v>
      </c>
      <c r="C69" s="6"/>
      <c r="D69" s="6"/>
      <c r="E69" s="6"/>
      <c r="F69" s="6"/>
      <c r="G69" s="6"/>
      <c r="H69" s="22"/>
    </row>
    <row r="70" spans="1:8" x14ac:dyDescent="0.25">
      <c r="A70" s="16" t="s">
        <v>38</v>
      </c>
      <c r="B70" s="6">
        <f>(B18/B24)*100</f>
        <v>25.38916995502354</v>
      </c>
      <c r="C70" s="6"/>
      <c r="D70" s="6"/>
      <c r="E70" s="6"/>
      <c r="F70" s="6"/>
      <c r="G70" s="6"/>
      <c r="H70" s="22"/>
    </row>
    <row r="71" spans="1:8" ht="15.75" thickBot="1" x14ac:dyDescent="0.3">
      <c r="A71" s="23"/>
      <c r="B71" s="23"/>
      <c r="C71" s="23"/>
      <c r="D71" s="23"/>
      <c r="E71" s="23"/>
      <c r="F71" s="23"/>
    </row>
    <row r="72" spans="1:8" ht="15.75" thickTop="1" x14ac:dyDescent="0.25"/>
    <row r="73" spans="1:8" x14ac:dyDescent="0.25">
      <c r="A73" s="24" t="s">
        <v>39</v>
      </c>
    </row>
    <row r="74" spans="1:8" x14ac:dyDescent="0.25">
      <c r="A74" s="24" t="s">
        <v>85</v>
      </c>
    </row>
    <row r="75" spans="1:8" x14ac:dyDescent="0.25">
      <c r="A75" s="25" t="s">
        <v>86</v>
      </c>
      <c r="B75" s="26"/>
      <c r="C75" s="26"/>
      <c r="D75" s="26"/>
      <c r="E75" s="26"/>
    </row>
    <row r="76" spans="1:8" x14ac:dyDescent="0.25">
      <c r="A76" s="11" t="s">
        <v>74</v>
      </c>
      <c r="B76" s="26"/>
      <c r="C76" s="26"/>
      <c r="D76" s="26"/>
      <c r="E76" s="26"/>
    </row>
    <row r="77" spans="1:8" x14ac:dyDescent="0.25">
      <c r="A77" t="s">
        <v>129</v>
      </c>
    </row>
    <row r="78" spans="1:8" x14ac:dyDescent="0.25">
      <c r="A78" s="15" t="s">
        <v>75</v>
      </c>
    </row>
    <row r="79" spans="1:8" x14ac:dyDescent="0.25">
      <c r="A79" s="15" t="s">
        <v>76</v>
      </c>
    </row>
  </sheetData>
  <mergeCells count="5">
    <mergeCell ref="A2:F2"/>
    <mergeCell ref="A4:A5"/>
    <mergeCell ref="B4:B5"/>
    <mergeCell ref="C4:C5"/>
    <mergeCell ref="D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topLeftCell="A10" workbookViewId="0">
      <selection activeCell="B29" sqref="B29:F29"/>
    </sheetView>
  </sheetViews>
  <sheetFormatPr baseColWidth="10" defaultRowHeight="15" x14ac:dyDescent="0.25"/>
  <cols>
    <col min="1" max="1" width="55.140625" style="16" customWidth="1"/>
    <col min="2" max="2" width="13.85546875" style="16" bestFit="1" customWidth="1"/>
    <col min="3" max="3" width="13.85546875" style="16" customWidth="1"/>
    <col min="4" max="4" width="20.7109375" style="16" customWidth="1"/>
    <col min="5" max="5" width="13.7109375" style="16" customWidth="1"/>
    <col min="6" max="7" width="13.7109375" style="16" bestFit="1" customWidth="1"/>
    <col min="8" max="16384" width="11.42578125" style="16"/>
  </cols>
  <sheetData>
    <row r="2" spans="1:7" ht="15.75" x14ac:dyDescent="0.25">
      <c r="A2" s="39" t="s">
        <v>108</v>
      </c>
      <c r="B2" s="39"/>
      <c r="C2" s="39"/>
      <c r="D2" s="39"/>
      <c r="E2" s="39"/>
      <c r="F2" s="39"/>
    </row>
    <row r="4" spans="1:7" ht="15" customHeight="1" x14ac:dyDescent="0.25">
      <c r="A4" s="40" t="s">
        <v>0</v>
      </c>
      <c r="B4" s="42" t="s">
        <v>1</v>
      </c>
      <c r="C4" s="42" t="s">
        <v>44</v>
      </c>
      <c r="D4" s="44" t="s">
        <v>2</v>
      </c>
      <c r="E4" s="44"/>
      <c r="F4" s="44"/>
    </row>
    <row r="5" spans="1:7" ht="15.75" thickBot="1" x14ac:dyDescent="0.3">
      <c r="A5" s="41"/>
      <c r="B5" s="43"/>
      <c r="C5" s="43"/>
      <c r="D5" s="17" t="s">
        <v>3</v>
      </c>
      <c r="E5" s="18" t="s">
        <v>4</v>
      </c>
      <c r="F5" s="18" t="s">
        <v>5</v>
      </c>
    </row>
    <row r="6" spans="1:7" ht="15.75" thickTop="1" x14ac:dyDescent="0.25"/>
    <row r="7" spans="1:7" x14ac:dyDescent="0.25">
      <c r="A7" s="19" t="s">
        <v>6</v>
      </c>
    </row>
    <row r="8" spans="1:7" x14ac:dyDescent="0.25">
      <c r="B8" s="6"/>
      <c r="C8" s="6"/>
      <c r="D8" s="6"/>
      <c r="E8" s="6"/>
      <c r="F8" s="6"/>
      <c r="G8" s="6"/>
    </row>
    <row r="9" spans="1:7" x14ac:dyDescent="0.25">
      <c r="A9" s="16" t="s">
        <v>7</v>
      </c>
      <c r="B9" s="6"/>
      <c r="C9" s="6"/>
      <c r="D9" s="6"/>
      <c r="E9" s="6"/>
      <c r="F9" s="6"/>
      <c r="G9" s="6"/>
    </row>
    <row r="10" spans="1:7" x14ac:dyDescent="0.25">
      <c r="A10" s="20" t="s">
        <v>53</v>
      </c>
      <c r="B10" s="13">
        <f>'I Trimestre'!B10</f>
        <v>405</v>
      </c>
      <c r="C10" s="13">
        <f>('I Trimestre'!C10+'II Trimestre'!C10)/2</f>
        <v>305.66666666666669</v>
      </c>
      <c r="D10" s="6"/>
      <c r="E10" s="6"/>
      <c r="F10" s="6"/>
      <c r="G10" s="6"/>
    </row>
    <row r="11" spans="1:7" x14ac:dyDescent="0.25">
      <c r="A11" s="20" t="s">
        <v>109</v>
      </c>
      <c r="B11" s="13">
        <f>'I Trimestre'!B11</f>
        <v>450</v>
      </c>
      <c r="C11" s="13">
        <f>('I Trimestre'!C11+'II Trimestre'!C11)/2</f>
        <v>358.33333333333337</v>
      </c>
      <c r="D11" s="6"/>
      <c r="E11" s="6"/>
      <c r="F11" s="6"/>
      <c r="G11" s="6"/>
    </row>
    <row r="12" spans="1:7" x14ac:dyDescent="0.25">
      <c r="A12" s="20" t="s">
        <v>110</v>
      </c>
      <c r="B12" s="13">
        <f>'I Trimestre'!B12</f>
        <v>420</v>
      </c>
      <c r="C12" s="13">
        <f>('I Trimestre'!C12+'II Trimestre'!C12)/2</f>
        <v>318</v>
      </c>
      <c r="D12" s="6"/>
    </row>
    <row r="13" spans="1:7" x14ac:dyDescent="0.25">
      <c r="A13" s="20" t="s">
        <v>80</v>
      </c>
      <c r="B13" s="13">
        <f>'I Trimestre'!B13</f>
        <v>450</v>
      </c>
      <c r="C13" s="13">
        <f>('I Trimestre'!C13+'II Trimestre'!C13)/2</f>
        <v>425</v>
      </c>
      <c r="D13" s="6"/>
      <c r="E13" s="6"/>
      <c r="F13" s="6"/>
      <c r="G13" s="6"/>
    </row>
    <row r="14" spans="1:7" x14ac:dyDescent="0.25">
      <c r="B14" s="6"/>
      <c r="C14" s="6"/>
      <c r="D14" s="6"/>
      <c r="E14" s="6"/>
      <c r="F14" s="6"/>
      <c r="G14" s="6"/>
    </row>
    <row r="15" spans="1:7" x14ac:dyDescent="0.25">
      <c r="A15" s="21" t="s">
        <v>9</v>
      </c>
      <c r="B15" s="6"/>
      <c r="C15" s="6"/>
      <c r="D15" s="6"/>
      <c r="E15" s="6"/>
      <c r="F15" s="6"/>
      <c r="G15" s="6"/>
    </row>
    <row r="16" spans="1:7" x14ac:dyDescent="0.25">
      <c r="A16" s="20" t="s">
        <v>53</v>
      </c>
      <c r="B16" s="6">
        <f>+'I Trimestre'!B16+'II Trimestre'!B16</f>
        <v>172249630.94</v>
      </c>
      <c r="C16" s="6">
        <v>28708271.823333334</v>
      </c>
      <c r="D16" s="6">
        <v>49975390.229999997</v>
      </c>
      <c r="E16" s="6">
        <v>114590534.27</v>
      </c>
      <c r="F16" s="6">
        <v>7683706.4400000004</v>
      </c>
      <c r="G16" s="6"/>
    </row>
    <row r="17" spans="1:8" x14ac:dyDescent="0.25">
      <c r="A17" s="20" t="s">
        <v>109</v>
      </c>
      <c r="B17" s="6">
        <f>+'I Trimestre'!B17+'II Trimestre'!B17</f>
        <v>540115547.62</v>
      </c>
      <c r="C17" s="6">
        <f>+B17/6</f>
        <v>90019257.936666667</v>
      </c>
      <c r="D17" s="6">
        <f>'I Trimestre'!D17+'II Trimestre'!D17+'III Trimestre'!D17</f>
        <v>349272300</v>
      </c>
      <c r="E17" s="6">
        <f>'I Trimestre'!E17+'II Trimestre'!E17+'III Trimestre'!E17</f>
        <v>125169084.58</v>
      </c>
      <c r="F17" s="6">
        <f>'I Trimestre'!F17+'II Trimestre'!F17+'III Trimestre'!F17</f>
        <v>128625728.62</v>
      </c>
      <c r="G17" s="6"/>
    </row>
    <row r="18" spans="1:8" x14ac:dyDescent="0.25">
      <c r="A18" s="20" t="s">
        <v>110</v>
      </c>
      <c r="B18" s="6">
        <f>+'I Trimestre'!B18+'II Trimestre'!B18</f>
        <v>196616260.22</v>
      </c>
      <c r="C18" s="6">
        <f t="shared" ref="C18:C19" si="0">+B18/6</f>
        <v>32769376.703333333</v>
      </c>
      <c r="D18" s="6">
        <f>'I Trimestre'!D18+'II Trimestre'!D18+'III Trimestre'!D18</f>
        <v>117003897.72</v>
      </c>
      <c r="E18" s="6">
        <f>'I Trimestre'!E18+'II Trimestre'!E18+'III Trimestre'!E18</f>
        <v>8919290</v>
      </c>
      <c r="F18" s="6">
        <f>'I Trimestre'!F18+'II Trimestre'!F18+'III Trimestre'!F18</f>
        <v>128551745.81999999</v>
      </c>
      <c r="G18" s="6"/>
    </row>
    <row r="19" spans="1:8" x14ac:dyDescent="0.25">
      <c r="A19" s="20" t="s">
        <v>80</v>
      </c>
      <c r="B19" s="6">
        <f>SUM(D19:F19)</f>
        <v>421387847.62</v>
      </c>
      <c r="C19" s="6">
        <f t="shared" si="0"/>
        <v>70231307.936666667</v>
      </c>
      <c r="D19" s="6">
        <f>+'II Trimestre'!D19</f>
        <v>172181220</v>
      </c>
      <c r="E19" s="6">
        <f>+'II Trimestre'!E19</f>
        <v>120580899</v>
      </c>
      <c r="F19" s="6">
        <f>+'II Trimestre'!F19</f>
        <v>128625728.62</v>
      </c>
      <c r="G19" s="6"/>
    </row>
    <row r="20" spans="1:8" x14ac:dyDescent="0.25">
      <c r="A20" s="20" t="s">
        <v>111</v>
      </c>
      <c r="B20" s="6">
        <f>SUM(D20:F20)</f>
        <v>0</v>
      </c>
      <c r="C20" s="6"/>
      <c r="D20" s="6"/>
      <c r="E20" s="6"/>
      <c r="F20" s="6"/>
      <c r="G20" s="6"/>
    </row>
    <row r="21" spans="1:8" x14ac:dyDescent="0.25">
      <c r="B21" s="6"/>
      <c r="C21" s="6"/>
      <c r="D21" s="6"/>
      <c r="E21" s="6"/>
      <c r="F21" s="6"/>
      <c r="G21" s="6"/>
    </row>
    <row r="22" spans="1:8" x14ac:dyDescent="0.25">
      <c r="A22" s="20" t="s">
        <v>10</v>
      </c>
      <c r="B22" s="6"/>
      <c r="C22" s="6"/>
      <c r="D22" s="6"/>
      <c r="E22" s="6"/>
      <c r="F22" s="6"/>
      <c r="G22" s="6"/>
    </row>
    <row r="23" spans="1:8" x14ac:dyDescent="0.25">
      <c r="A23" s="20" t="s">
        <v>109</v>
      </c>
      <c r="B23" s="6">
        <f>B17</f>
        <v>540115547.62</v>
      </c>
      <c r="C23" s="6"/>
      <c r="D23" s="6"/>
      <c r="E23" s="6"/>
      <c r="F23" s="6"/>
      <c r="G23" s="6"/>
      <c r="H23" s="22"/>
    </row>
    <row r="24" spans="1:8" x14ac:dyDescent="0.25">
      <c r="A24" s="20" t="s">
        <v>110</v>
      </c>
      <c r="B24" s="6">
        <f>'I Trimestre'!B24+'II Trimestre'!B24</f>
        <v>82301868.489999995</v>
      </c>
      <c r="C24" s="6"/>
      <c r="D24" s="6"/>
      <c r="E24" s="6"/>
      <c r="F24" s="6"/>
      <c r="G24" s="6"/>
      <c r="H24" s="22"/>
    </row>
    <row r="25" spans="1:8" x14ac:dyDescent="0.25">
      <c r="B25" s="6"/>
      <c r="C25" s="6"/>
      <c r="D25" s="6"/>
      <c r="E25" s="6"/>
      <c r="F25" s="6"/>
      <c r="G25" s="6"/>
    </row>
    <row r="26" spans="1:8" x14ac:dyDescent="0.25">
      <c r="A26" s="16" t="s">
        <v>11</v>
      </c>
      <c r="B26" s="6"/>
      <c r="C26" s="6"/>
      <c r="D26" s="6"/>
      <c r="E26" s="6"/>
      <c r="F26" s="6"/>
      <c r="G26" s="6"/>
    </row>
    <row r="27" spans="1:8" x14ac:dyDescent="0.25">
      <c r="A27" s="16" t="s">
        <v>54</v>
      </c>
      <c r="B27" s="6">
        <v>1.45394391315</v>
      </c>
      <c r="C27" s="6">
        <v>1.45394391315</v>
      </c>
      <c r="D27" s="6">
        <v>1.45394391315</v>
      </c>
      <c r="E27" s="6">
        <v>1.45394391315</v>
      </c>
      <c r="F27" s="6">
        <v>1.45394391315</v>
      </c>
      <c r="G27" s="6"/>
    </row>
    <row r="28" spans="1:8" x14ac:dyDescent="0.25">
      <c r="A28" s="16" t="s">
        <v>112</v>
      </c>
      <c r="B28" s="6">
        <v>1.5189901056499999</v>
      </c>
      <c r="C28" s="6">
        <v>1.5189901056499999</v>
      </c>
      <c r="D28" s="6">
        <v>1.5189901056499999</v>
      </c>
      <c r="E28" s="6">
        <v>1.5189901056499999</v>
      </c>
      <c r="F28" s="6">
        <v>1.5189901056499999</v>
      </c>
      <c r="G28" s="6"/>
    </row>
    <row r="29" spans="1:8" x14ac:dyDescent="0.25">
      <c r="A29" s="16" t="s">
        <v>13</v>
      </c>
      <c r="B29" s="13"/>
      <c r="C29" s="13"/>
      <c r="D29" s="13"/>
      <c r="E29" s="13"/>
      <c r="F29" s="13"/>
      <c r="G29" s="6"/>
    </row>
    <row r="30" spans="1:8" x14ac:dyDescent="0.25">
      <c r="B30" s="6"/>
      <c r="C30" s="6"/>
      <c r="D30" s="6"/>
      <c r="E30" s="6"/>
      <c r="F30" s="6"/>
      <c r="G30" s="6"/>
    </row>
    <row r="31" spans="1:8" x14ac:dyDescent="0.25">
      <c r="A31" s="16" t="s">
        <v>14</v>
      </c>
      <c r="B31" s="6"/>
      <c r="C31" s="6"/>
      <c r="D31" s="6"/>
      <c r="E31" s="6"/>
      <c r="F31" s="6"/>
      <c r="G31" s="6"/>
    </row>
    <row r="32" spans="1:8" x14ac:dyDescent="0.25">
      <c r="A32" s="16" t="s">
        <v>55</v>
      </c>
      <c r="B32" s="6">
        <f>B16/B27</f>
        <v>118470615.94474958</v>
      </c>
      <c r="C32" s="6">
        <f>C16/C27</f>
        <v>19745102.657458264</v>
      </c>
      <c r="D32" s="6"/>
      <c r="E32" s="6"/>
      <c r="F32" s="6"/>
      <c r="G32" s="6"/>
    </row>
    <row r="33" spans="1:7" x14ac:dyDescent="0.25">
      <c r="A33" s="16" t="s">
        <v>113</v>
      </c>
      <c r="B33" s="6">
        <f>B18/B28</f>
        <v>129438802.45741613</v>
      </c>
      <c r="C33" s="6">
        <f>C18/C28</f>
        <v>21573133.742902689</v>
      </c>
      <c r="D33" s="6">
        <f>D18/D28</f>
        <v>77027425.843522653</v>
      </c>
      <c r="E33" s="6">
        <f>E18/E28</f>
        <v>5871855.2325153528</v>
      </c>
      <c r="F33" s="6">
        <f t="shared" ref="F33" si="1">F18/F28</f>
        <v>84629745.343200028</v>
      </c>
      <c r="G33" s="6"/>
    </row>
    <row r="34" spans="1:7" x14ac:dyDescent="0.25">
      <c r="A34" s="16" t="s">
        <v>56</v>
      </c>
      <c r="B34" s="6">
        <f>B32/B10</f>
        <v>292520.03936975205</v>
      </c>
      <c r="C34" s="6">
        <f>B32/C10</f>
        <v>387581.07724563655</v>
      </c>
      <c r="D34" s="6"/>
      <c r="E34" s="6"/>
      <c r="F34" s="6"/>
      <c r="G34" s="6"/>
    </row>
    <row r="35" spans="1:7" x14ac:dyDescent="0.25">
      <c r="A35" s="16" t="s">
        <v>114</v>
      </c>
      <c r="B35" s="6">
        <f>B33/B12</f>
        <v>308187.62489860982</v>
      </c>
      <c r="C35" s="6">
        <f>B33/C12</f>
        <v>407040.25930005073</v>
      </c>
      <c r="D35" s="6"/>
    </row>
    <row r="36" spans="1:7" x14ac:dyDescent="0.25">
      <c r="B36" s="6"/>
      <c r="C36" s="6"/>
      <c r="D36" s="6"/>
      <c r="E36" s="6"/>
      <c r="F36" s="6"/>
      <c r="G36" s="6"/>
    </row>
    <row r="37" spans="1:7" x14ac:dyDescent="0.25">
      <c r="A37" s="19" t="s">
        <v>17</v>
      </c>
      <c r="B37" s="6"/>
      <c r="C37" s="6"/>
      <c r="D37" s="6"/>
      <c r="E37" s="6"/>
      <c r="F37" s="6"/>
      <c r="G37" s="6"/>
    </row>
    <row r="38" spans="1:7" x14ac:dyDescent="0.25">
      <c r="B38" s="6"/>
      <c r="C38" s="6"/>
      <c r="D38" s="6"/>
      <c r="E38" s="6"/>
      <c r="F38" s="6"/>
      <c r="G38" s="6"/>
    </row>
    <row r="39" spans="1:7" x14ac:dyDescent="0.25">
      <c r="A39" s="16" t="s">
        <v>18</v>
      </c>
      <c r="B39" s="6"/>
      <c r="C39" s="6"/>
      <c r="D39" s="6"/>
      <c r="E39" s="6"/>
      <c r="F39" s="6"/>
      <c r="G39" s="6"/>
    </row>
    <row r="40" spans="1:7" x14ac:dyDescent="0.25">
      <c r="A40" s="16" t="s">
        <v>19</v>
      </c>
      <c r="B40" s="6" t="s">
        <v>130</v>
      </c>
      <c r="C40" s="6" t="s">
        <v>130</v>
      </c>
      <c r="D40" s="6" t="s">
        <v>130</v>
      </c>
      <c r="E40" s="6" t="s">
        <v>130</v>
      </c>
      <c r="F40" s="6" t="s">
        <v>130</v>
      </c>
      <c r="G40" s="6"/>
    </row>
    <row r="41" spans="1:7" x14ac:dyDescent="0.25">
      <c r="A41" s="16" t="s">
        <v>20</v>
      </c>
      <c r="B41" s="6" t="s">
        <v>130</v>
      </c>
      <c r="C41" s="6" t="s">
        <v>130</v>
      </c>
      <c r="D41" s="6" t="s">
        <v>130</v>
      </c>
      <c r="E41" s="6" t="s">
        <v>130</v>
      </c>
      <c r="F41" s="6" t="s">
        <v>130</v>
      </c>
      <c r="G41" s="6"/>
    </row>
    <row r="42" spans="1:7" x14ac:dyDescent="0.25">
      <c r="B42" s="6"/>
      <c r="C42" s="6"/>
      <c r="D42" s="6"/>
      <c r="E42" s="6"/>
      <c r="F42" s="6"/>
      <c r="G42" s="6"/>
    </row>
    <row r="43" spans="1:7" x14ac:dyDescent="0.25">
      <c r="A43" s="16" t="s">
        <v>21</v>
      </c>
      <c r="B43" s="6"/>
      <c r="C43" s="6"/>
      <c r="D43" s="6"/>
      <c r="E43" s="6"/>
      <c r="F43" s="6"/>
      <c r="G43" s="6"/>
    </row>
    <row r="44" spans="1:7" x14ac:dyDescent="0.25">
      <c r="A44" s="16" t="s">
        <v>22</v>
      </c>
      <c r="B44" s="6">
        <f>B12/B11*100</f>
        <v>93.333333333333329</v>
      </c>
      <c r="C44" s="6">
        <f>C12/C11*100</f>
        <v>88.744186046511615</v>
      </c>
      <c r="D44" s="6"/>
      <c r="E44" s="6"/>
      <c r="F44" s="6"/>
      <c r="G44" s="6"/>
    </row>
    <row r="45" spans="1:7" x14ac:dyDescent="0.25">
      <c r="A45" s="16" t="s">
        <v>23</v>
      </c>
      <c r="B45" s="6">
        <f>B18/B17*100</f>
        <v>36.402629231167772</v>
      </c>
      <c r="C45" s="6">
        <f>C18/C17*100</f>
        <v>36.402629231167772</v>
      </c>
      <c r="D45" s="6">
        <f>D18/D17*100</f>
        <v>33.499334965870467</v>
      </c>
      <c r="E45" s="6">
        <f t="shared" ref="E45" si="2">E18/E17*100</f>
        <v>7.1257931061238731</v>
      </c>
      <c r="F45" s="6">
        <f>F18/F17*100</f>
        <v>99.942482113964488</v>
      </c>
      <c r="G45" s="6"/>
    </row>
    <row r="46" spans="1:7" x14ac:dyDescent="0.25">
      <c r="A46" s="16" t="s">
        <v>24</v>
      </c>
      <c r="B46" s="6">
        <f>AVERAGE(B44:B45)</f>
        <v>64.867981282250554</v>
      </c>
      <c r="C46" s="6">
        <f>AVERAGE(C44:C45)</f>
        <v>62.573407638839697</v>
      </c>
      <c r="D46" s="6"/>
      <c r="E46" s="6"/>
      <c r="F46" s="6"/>
      <c r="G46" s="6"/>
    </row>
    <row r="47" spans="1:7" x14ac:dyDescent="0.25">
      <c r="B47" s="6"/>
      <c r="C47" s="6"/>
      <c r="D47" s="6"/>
      <c r="E47" s="6"/>
      <c r="F47" s="6"/>
      <c r="G47" s="6"/>
    </row>
    <row r="48" spans="1:7" x14ac:dyDescent="0.25">
      <c r="A48" s="16" t="s">
        <v>25</v>
      </c>
      <c r="B48" s="6"/>
      <c r="C48" s="6"/>
      <c r="D48" s="6"/>
      <c r="E48" s="6"/>
      <c r="F48" s="6"/>
      <c r="G48" s="6"/>
    </row>
    <row r="49" spans="1:7" x14ac:dyDescent="0.25">
      <c r="A49" s="16" t="s">
        <v>26</v>
      </c>
      <c r="B49" s="6">
        <f>(B12*6)/(B13*12)*100</f>
        <v>46.666666666666664</v>
      </c>
      <c r="C49" s="6">
        <f>(C12*6)/(C13*12)*100</f>
        <v>37.411764705882355</v>
      </c>
      <c r="D49" s="6"/>
      <c r="E49" s="6"/>
      <c r="F49" s="6"/>
      <c r="G49" s="6"/>
    </row>
    <row r="50" spans="1:7" x14ac:dyDescent="0.25">
      <c r="A50" s="16" t="s">
        <v>27</v>
      </c>
      <c r="B50" s="6">
        <f>B18/B19*100</f>
        <v>46.659214623888488</v>
      </c>
      <c r="C50" s="6">
        <f>C18/C19*100</f>
        <v>46.659214623888488</v>
      </c>
      <c r="D50" s="6">
        <f>D18/D19*100</f>
        <v>67.953925358410174</v>
      </c>
      <c r="E50" s="6">
        <f t="shared" ref="E50:F50" si="3">E18/E19*100</f>
        <v>7.3969344016915972</v>
      </c>
      <c r="F50" s="6">
        <f t="shared" si="3"/>
        <v>99.942482113964488</v>
      </c>
      <c r="G50" s="6"/>
    </row>
    <row r="51" spans="1:7" x14ac:dyDescent="0.25">
      <c r="A51" s="16" t="s">
        <v>28</v>
      </c>
      <c r="B51" s="6">
        <f>(B49+B50)/2</f>
        <v>46.662940645277573</v>
      </c>
      <c r="C51" s="6">
        <f>(C49+C50)/2</f>
        <v>42.035489664885418</v>
      </c>
      <c r="D51" s="6"/>
      <c r="E51" s="6"/>
      <c r="F51" s="6"/>
      <c r="G51" s="6"/>
    </row>
    <row r="52" spans="1:7" x14ac:dyDescent="0.25">
      <c r="B52" s="6"/>
      <c r="C52" s="6"/>
      <c r="D52" s="6"/>
      <c r="E52" s="6"/>
      <c r="F52" s="6"/>
      <c r="G52" s="6"/>
    </row>
    <row r="53" spans="1:7" x14ac:dyDescent="0.25">
      <c r="A53" s="16" t="s">
        <v>65</v>
      </c>
      <c r="B53" s="6"/>
      <c r="C53" s="6"/>
      <c r="D53" s="6"/>
      <c r="E53" s="6"/>
      <c r="F53" s="6"/>
      <c r="G53" s="6"/>
    </row>
    <row r="54" spans="1:7" x14ac:dyDescent="0.25">
      <c r="A54" s="16" t="s">
        <v>29</v>
      </c>
      <c r="B54" s="6">
        <f>B20/B18*100</f>
        <v>0</v>
      </c>
      <c r="C54" s="6">
        <f>C20/C18*100</f>
        <v>0</v>
      </c>
      <c r="D54" s="6">
        <f t="shared" ref="D54:F54" si="4">D20/D18*100</f>
        <v>0</v>
      </c>
      <c r="E54" s="6">
        <f t="shared" si="4"/>
        <v>0</v>
      </c>
      <c r="F54" s="6">
        <f t="shared" si="4"/>
        <v>0</v>
      </c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A56" s="16" t="s">
        <v>30</v>
      </c>
      <c r="B56" s="6"/>
      <c r="C56" s="6"/>
      <c r="D56" s="6"/>
      <c r="E56" s="6"/>
      <c r="F56" s="6"/>
      <c r="G56" s="6"/>
    </row>
    <row r="57" spans="1:7" x14ac:dyDescent="0.25">
      <c r="A57" s="16" t="s">
        <v>31</v>
      </c>
      <c r="B57" s="6">
        <f>((B12/B10)-1)*100</f>
        <v>3.7037037037036979</v>
      </c>
      <c r="C57" s="6">
        <f>((C12/C10)-1)*100</f>
        <v>4.0348964013086075</v>
      </c>
      <c r="D57" s="6"/>
      <c r="E57" s="6"/>
      <c r="F57" s="6"/>
      <c r="G57" s="6"/>
    </row>
    <row r="58" spans="1:7" x14ac:dyDescent="0.25">
      <c r="A58" s="16" t="s">
        <v>32</v>
      </c>
      <c r="B58" s="6">
        <f>((B33/B32)-1)*100</f>
        <v>9.2581493100210679</v>
      </c>
      <c r="C58" s="6">
        <f>((C33/C32)-1)*100</f>
        <v>9.2581493100210679</v>
      </c>
      <c r="D58" s="6"/>
      <c r="E58" s="6"/>
      <c r="F58" s="6"/>
      <c r="G58" s="6"/>
    </row>
    <row r="59" spans="1:7" x14ac:dyDescent="0.25">
      <c r="A59" s="16" t="s">
        <v>33</v>
      </c>
      <c r="B59" s="6">
        <f>((B35/B34)-1)*100</f>
        <v>5.3560725489488981</v>
      </c>
      <c r="C59" s="6">
        <f>((C35/C34)-1)*100</f>
        <v>5.0206739174940562</v>
      </c>
      <c r="D59" s="6"/>
      <c r="E59" s="6"/>
      <c r="F59" s="6"/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A61" s="16" t="s">
        <v>34</v>
      </c>
      <c r="B61" s="6"/>
      <c r="C61" s="6"/>
      <c r="D61" s="6"/>
      <c r="E61" s="6"/>
      <c r="F61" s="6"/>
      <c r="G61" s="6"/>
    </row>
    <row r="62" spans="1:7" x14ac:dyDescent="0.25">
      <c r="A62" s="16" t="s">
        <v>66</v>
      </c>
      <c r="B62" s="6">
        <f>B17/(C11*6)</f>
        <v>251216.53377674418</v>
      </c>
      <c r="C62" s="6"/>
      <c r="D62" s="6"/>
      <c r="E62" s="6"/>
      <c r="F62" s="6"/>
      <c r="G62" s="6"/>
    </row>
    <row r="63" spans="1:7" x14ac:dyDescent="0.25">
      <c r="A63" s="16" t="s">
        <v>67</v>
      </c>
      <c r="B63" s="6">
        <f>B18/(C12*6)</f>
        <v>103048.3544129979</v>
      </c>
      <c r="C63" s="6"/>
      <c r="D63" s="6"/>
    </row>
    <row r="64" spans="1:7" x14ac:dyDescent="0.25">
      <c r="A64" s="16" t="s">
        <v>35</v>
      </c>
      <c r="B64" s="6">
        <f>(B62/B63)*B46</f>
        <v>158.13847298823279</v>
      </c>
      <c r="C64" s="6"/>
      <c r="D64" s="6"/>
      <c r="E64" s="6"/>
      <c r="F64" s="6"/>
      <c r="G64" s="6"/>
    </row>
    <row r="65" spans="1:8" x14ac:dyDescent="0.25">
      <c r="A65" s="14" t="s">
        <v>70</v>
      </c>
      <c r="B65" s="6">
        <f>B17/C11</f>
        <v>1507299.2026604649</v>
      </c>
      <c r="C65" s="6"/>
      <c r="D65" s="6"/>
      <c r="E65" s="6"/>
      <c r="F65" s="6"/>
      <c r="G65" s="6"/>
    </row>
    <row r="66" spans="1:8" x14ac:dyDescent="0.25">
      <c r="A66" s="14" t="s">
        <v>71</v>
      </c>
      <c r="B66" s="6">
        <f>B18/C12</f>
        <v>618290.12647798739</v>
      </c>
      <c r="C66" s="6"/>
      <c r="D66" s="6"/>
      <c r="E66" s="6"/>
      <c r="F66" s="6"/>
      <c r="G66" s="6"/>
    </row>
    <row r="67" spans="1:8" x14ac:dyDescent="0.25">
      <c r="B67" s="6"/>
      <c r="C67" s="6"/>
      <c r="D67" s="6"/>
      <c r="E67" s="6"/>
      <c r="F67" s="6"/>
      <c r="G67" s="6"/>
    </row>
    <row r="68" spans="1:8" x14ac:dyDescent="0.25">
      <c r="A68" s="16" t="s">
        <v>36</v>
      </c>
      <c r="B68" s="6"/>
      <c r="C68" s="6"/>
      <c r="D68" s="6"/>
      <c r="E68" s="6"/>
      <c r="F68" s="6"/>
      <c r="G68" s="6"/>
    </row>
    <row r="69" spans="1:8" x14ac:dyDescent="0.25">
      <c r="A69" s="16" t="s">
        <v>37</v>
      </c>
      <c r="B69" s="6">
        <f>(B24/B23)*100</f>
        <v>15.237826211939327</v>
      </c>
      <c r="C69" s="6"/>
      <c r="D69" s="6"/>
      <c r="E69" s="6"/>
      <c r="F69" s="6"/>
      <c r="G69" s="6"/>
      <c r="H69" s="22"/>
    </row>
    <row r="70" spans="1:8" x14ac:dyDescent="0.25">
      <c r="A70" s="16" t="s">
        <v>38</v>
      </c>
      <c r="B70" s="6">
        <f>(B18/B24)*100</f>
        <v>238.89647200888234</v>
      </c>
      <c r="C70" s="6"/>
      <c r="D70" s="6"/>
      <c r="E70" s="6"/>
      <c r="F70" s="6"/>
      <c r="G70" s="6"/>
      <c r="H70" s="22"/>
    </row>
    <row r="71" spans="1:8" ht="15.75" thickBot="1" x14ac:dyDescent="0.3">
      <c r="A71" s="23"/>
      <c r="B71" s="23"/>
      <c r="C71" s="23"/>
      <c r="D71" s="23"/>
      <c r="E71" s="23"/>
      <c r="F71" s="23"/>
    </row>
    <row r="72" spans="1:8" ht="15.75" thickTop="1" x14ac:dyDescent="0.25"/>
    <row r="73" spans="1:8" x14ac:dyDescent="0.25">
      <c r="A73" s="24" t="s">
        <v>39</v>
      </c>
    </row>
    <row r="74" spans="1:8" x14ac:dyDescent="0.25">
      <c r="A74" s="24" t="s">
        <v>85</v>
      </c>
    </row>
    <row r="75" spans="1:8" x14ac:dyDescent="0.25">
      <c r="A75" s="25" t="s">
        <v>86</v>
      </c>
      <c r="B75" s="26"/>
      <c r="C75" s="26"/>
      <c r="D75" s="26"/>
      <c r="E75" s="26"/>
    </row>
    <row r="76" spans="1:8" x14ac:dyDescent="0.25">
      <c r="A76" s="11" t="s">
        <v>74</v>
      </c>
      <c r="B76" s="26"/>
      <c r="C76" s="26"/>
      <c r="D76" s="26"/>
      <c r="E76" s="26"/>
    </row>
    <row r="77" spans="1:8" x14ac:dyDescent="0.25">
      <c r="A77" t="s">
        <v>129</v>
      </c>
    </row>
    <row r="78" spans="1:8" x14ac:dyDescent="0.25">
      <c r="A78" s="15" t="s">
        <v>75</v>
      </c>
    </row>
    <row r="79" spans="1:8" x14ac:dyDescent="0.25">
      <c r="A79" s="15" t="s">
        <v>76</v>
      </c>
    </row>
  </sheetData>
  <mergeCells count="5">
    <mergeCell ref="A2:F2"/>
    <mergeCell ref="A4:A5"/>
    <mergeCell ref="B4:B5"/>
    <mergeCell ref="C4:C5"/>
    <mergeCell ref="D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topLeftCell="A70" workbookViewId="0">
      <selection activeCell="A23" sqref="A23"/>
    </sheetView>
  </sheetViews>
  <sheetFormatPr baseColWidth="10" defaultRowHeight="15" x14ac:dyDescent="0.25"/>
  <cols>
    <col min="1" max="1" width="55.140625" style="16" customWidth="1"/>
    <col min="2" max="2" width="13.85546875" style="16" bestFit="1" customWidth="1"/>
    <col min="3" max="3" width="13.85546875" style="16" customWidth="1"/>
    <col min="4" max="4" width="20.7109375" style="16" customWidth="1"/>
    <col min="5" max="5" width="13.7109375" style="16" customWidth="1"/>
    <col min="6" max="7" width="13.7109375" style="16" bestFit="1" customWidth="1"/>
    <col min="8" max="16384" width="11.42578125" style="16"/>
  </cols>
  <sheetData>
    <row r="2" spans="1:7" ht="15.75" x14ac:dyDescent="0.25">
      <c r="A2" s="39" t="s">
        <v>115</v>
      </c>
      <c r="B2" s="39"/>
      <c r="C2" s="39"/>
      <c r="D2" s="39"/>
      <c r="E2" s="39"/>
      <c r="F2" s="39"/>
    </row>
    <row r="4" spans="1:7" ht="15" customHeight="1" x14ac:dyDescent="0.25">
      <c r="A4" s="40" t="s">
        <v>0</v>
      </c>
      <c r="B4" s="42" t="s">
        <v>1</v>
      </c>
      <c r="C4" s="42" t="s">
        <v>44</v>
      </c>
      <c r="D4" s="44" t="s">
        <v>2</v>
      </c>
      <c r="E4" s="44"/>
      <c r="F4" s="44"/>
    </row>
    <row r="5" spans="1:7" ht="15.75" thickBot="1" x14ac:dyDescent="0.3">
      <c r="A5" s="41"/>
      <c r="B5" s="43"/>
      <c r="C5" s="43"/>
      <c r="D5" s="17" t="s">
        <v>3</v>
      </c>
      <c r="E5" s="18" t="s">
        <v>4</v>
      </c>
      <c r="F5" s="18" t="s">
        <v>5</v>
      </c>
    </row>
    <row r="6" spans="1:7" ht="15.75" thickTop="1" x14ac:dyDescent="0.25"/>
    <row r="7" spans="1:7" x14ac:dyDescent="0.25">
      <c r="A7" s="19" t="s">
        <v>6</v>
      </c>
    </row>
    <row r="8" spans="1:7" x14ac:dyDescent="0.25">
      <c r="B8" s="6"/>
      <c r="C8" s="6"/>
      <c r="D8" s="6"/>
      <c r="E8" s="6"/>
      <c r="F8" s="6"/>
      <c r="G8" s="6"/>
    </row>
    <row r="9" spans="1:7" x14ac:dyDescent="0.25">
      <c r="A9" s="16" t="s">
        <v>7</v>
      </c>
      <c r="B9" s="6"/>
      <c r="C9" s="6"/>
      <c r="D9" s="6"/>
      <c r="E9" s="6"/>
      <c r="F9" s="6"/>
      <c r="G9" s="6"/>
    </row>
    <row r="10" spans="1:7" x14ac:dyDescent="0.25">
      <c r="A10" s="20" t="s">
        <v>57</v>
      </c>
      <c r="B10" s="13">
        <f>'I Trimestre'!B10</f>
        <v>405</v>
      </c>
      <c r="C10" s="13">
        <f>('I Trimestre'!C10+'II Trimestre'!C10+'III Trimestre'!C10)/3</f>
        <v>313.88888888888891</v>
      </c>
      <c r="D10" s="6"/>
      <c r="E10" s="6"/>
      <c r="F10" s="6"/>
      <c r="G10" s="6"/>
    </row>
    <row r="11" spans="1:7" x14ac:dyDescent="0.25">
      <c r="A11" s="20" t="s">
        <v>116</v>
      </c>
      <c r="B11" s="13">
        <f>'I Trimestre'!B11</f>
        <v>450</v>
      </c>
      <c r="C11" s="13">
        <f>('I Trimestre'!C11+'II Trimestre'!C11+'III Trimestre'!C11)/3</f>
        <v>372.22222222222223</v>
      </c>
      <c r="D11" s="6"/>
      <c r="E11" s="6"/>
      <c r="F11" s="6"/>
      <c r="G11" s="6"/>
    </row>
    <row r="12" spans="1:7" x14ac:dyDescent="0.25">
      <c r="A12" s="20" t="s">
        <v>117</v>
      </c>
      <c r="B12" s="13">
        <f>'I Trimestre'!B12</f>
        <v>420</v>
      </c>
      <c r="C12" s="13">
        <f>('I Trimestre'!C12+'II Trimestre'!C12+'III Trimestre'!C12)/3</f>
        <v>324.66666666666669</v>
      </c>
      <c r="D12" s="6"/>
    </row>
    <row r="13" spans="1:7" x14ac:dyDescent="0.25">
      <c r="A13" s="20" t="s">
        <v>80</v>
      </c>
      <c r="B13" s="13">
        <f>'I Trimestre'!B13</f>
        <v>450</v>
      </c>
      <c r="C13" s="13">
        <f>('I Trimestre'!C13+'II Trimestre'!C13+'III Trimestre'!C13)/3</f>
        <v>416.66666666666669</v>
      </c>
      <c r="D13" s="6"/>
      <c r="E13" s="6"/>
      <c r="F13" s="6"/>
      <c r="G13" s="6"/>
    </row>
    <row r="14" spans="1:7" x14ac:dyDescent="0.25">
      <c r="B14" s="6"/>
      <c r="C14" s="6"/>
      <c r="D14" s="6"/>
      <c r="E14" s="6"/>
      <c r="F14" s="6"/>
      <c r="G14" s="6"/>
    </row>
    <row r="15" spans="1:7" x14ac:dyDescent="0.25">
      <c r="A15" s="21" t="s">
        <v>9</v>
      </c>
      <c r="B15" s="6"/>
      <c r="C15" s="6"/>
      <c r="D15" s="6"/>
      <c r="E15" s="6"/>
      <c r="F15" s="6"/>
      <c r="G15" s="6"/>
    </row>
    <row r="16" spans="1:7" x14ac:dyDescent="0.25">
      <c r="A16" s="20" t="s">
        <v>57</v>
      </c>
      <c r="B16" s="6">
        <v>236744719.81</v>
      </c>
      <c r="C16" s="6">
        <v>26304968.86777778</v>
      </c>
      <c r="D16" s="6">
        <v>79958539.099999994</v>
      </c>
      <c r="E16" s="6">
        <v>149102474.26999998</v>
      </c>
      <c r="F16" s="6">
        <v>7683706.4400000004</v>
      </c>
      <c r="G16" s="6"/>
    </row>
    <row r="17" spans="1:8" x14ac:dyDescent="0.25">
      <c r="A17" s="20" t="s">
        <v>116</v>
      </c>
      <c r="B17" s="6">
        <f>+'I Trimestre'!B17+'II Trimestre'!B17+'III Trimestre'!B17</f>
        <v>603067113.20000005</v>
      </c>
      <c r="C17" s="6">
        <f>+B17/9</f>
        <v>67007457.022222228</v>
      </c>
      <c r="D17" s="6">
        <f>'I Trimestre'!D17+'II Trimestre'!D17+'III Trimestre'!D17</f>
        <v>349272300</v>
      </c>
      <c r="E17" s="6">
        <f>'I Trimestre'!E17+'II Trimestre'!E17+'III Trimestre'!E17</f>
        <v>125169084.58</v>
      </c>
      <c r="F17" s="6">
        <f>'I Trimestre'!F17+'II Trimestre'!F17+'III Trimestre'!F17</f>
        <v>128625728.62</v>
      </c>
      <c r="G17" s="6"/>
    </row>
    <row r="18" spans="1:8" x14ac:dyDescent="0.25">
      <c r="A18" s="20" t="s">
        <v>117</v>
      </c>
      <c r="B18" s="6">
        <f>+'I Trimestre'!B18+'II Trimestre'!B18+'III Trimestre'!B18</f>
        <v>254474933.53999999</v>
      </c>
      <c r="C18" s="6">
        <f t="shared" ref="C18:C19" si="0">+B18/9</f>
        <v>28274992.615555555</v>
      </c>
      <c r="D18" s="6">
        <f>'I Trimestre'!D18+'II Trimestre'!D18+'III Trimestre'!D18</f>
        <v>117003897.72</v>
      </c>
      <c r="E18" s="6">
        <f>'I Trimestre'!E18+'II Trimestre'!E18+'III Trimestre'!E18</f>
        <v>8919290</v>
      </c>
      <c r="F18" s="6">
        <f>'I Trimestre'!F18+'II Trimestre'!F18+'III Trimestre'!F18</f>
        <v>128551745.81999999</v>
      </c>
      <c r="G18" s="6"/>
    </row>
    <row r="19" spans="1:8" x14ac:dyDescent="0.25">
      <c r="A19" s="20" t="s">
        <v>80</v>
      </c>
      <c r="B19" s="6">
        <f>+SUM(D19:F19)</f>
        <v>425976033.19999999</v>
      </c>
      <c r="C19" s="6">
        <f t="shared" si="0"/>
        <v>47330670.355555557</v>
      </c>
      <c r="D19" s="6">
        <f>+'III Trimestre'!D19</f>
        <v>172181220</v>
      </c>
      <c r="E19" s="6">
        <f>+'III Trimestre'!E19</f>
        <v>125169084.58</v>
      </c>
      <c r="F19" s="6">
        <f>+'III Trimestre'!F19</f>
        <v>128625728.62</v>
      </c>
      <c r="G19" s="6"/>
    </row>
    <row r="20" spans="1:8" x14ac:dyDescent="0.25">
      <c r="A20" s="20" t="s">
        <v>118</v>
      </c>
      <c r="B20" s="6">
        <f>SUM(D20:F20)</f>
        <v>0</v>
      </c>
      <c r="C20" s="6"/>
      <c r="D20" s="6"/>
      <c r="E20" s="6"/>
      <c r="F20" s="6"/>
      <c r="G20" s="6"/>
    </row>
    <row r="21" spans="1:8" x14ac:dyDescent="0.25">
      <c r="B21" s="6"/>
      <c r="C21" s="6"/>
      <c r="D21" s="6"/>
      <c r="E21" s="6"/>
      <c r="F21" s="6"/>
      <c r="G21" s="6"/>
    </row>
    <row r="22" spans="1:8" x14ac:dyDescent="0.25">
      <c r="A22" s="20" t="s">
        <v>10</v>
      </c>
      <c r="B22" s="6"/>
      <c r="C22" s="6"/>
      <c r="D22" s="6"/>
      <c r="E22" s="6"/>
      <c r="F22" s="6"/>
      <c r="G22" s="6"/>
    </row>
    <row r="23" spans="1:8" x14ac:dyDescent="0.25">
      <c r="A23" s="20" t="s">
        <v>116</v>
      </c>
      <c r="B23" s="6">
        <f>B17</f>
        <v>603067113.20000005</v>
      </c>
      <c r="C23" s="6"/>
      <c r="D23" s="6"/>
      <c r="E23" s="6"/>
      <c r="F23" s="6"/>
      <c r="G23" s="6"/>
      <c r="H23" s="22"/>
    </row>
    <row r="24" spans="1:8" x14ac:dyDescent="0.25">
      <c r="A24" s="20" t="s">
        <v>117</v>
      </c>
      <c r="B24" s="6">
        <f>'I Trimestre'!B24+'II Trimestre'!B24+'III Trimestre'!B24</f>
        <v>143931006.99000001</v>
      </c>
      <c r="C24" s="6"/>
      <c r="D24" s="6"/>
      <c r="E24" s="6"/>
      <c r="F24" s="6"/>
      <c r="G24" s="6"/>
      <c r="H24" s="22"/>
    </row>
    <row r="25" spans="1:8" x14ac:dyDescent="0.25">
      <c r="B25" s="6"/>
      <c r="C25" s="6"/>
      <c r="D25" s="6"/>
      <c r="E25" s="6"/>
      <c r="F25" s="6"/>
      <c r="G25" s="6"/>
    </row>
    <row r="26" spans="1:8" x14ac:dyDescent="0.25">
      <c r="A26" s="16" t="s">
        <v>11</v>
      </c>
      <c r="B26" s="6"/>
      <c r="C26" s="6"/>
      <c r="D26" s="6"/>
      <c r="E26" s="6"/>
      <c r="F26" s="6"/>
      <c r="G26" s="6"/>
    </row>
    <row r="27" spans="1:8" x14ac:dyDescent="0.25">
      <c r="A27" s="16" t="s">
        <v>58</v>
      </c>
      <c r="B27" s="6">
        <v>1.4617491794222224</v>
      </c>
      <c r="C27" s="6">
        <v>1.4617491794222224</v>
      </c>
      <c r="D27" s="6">
        <v>1.4617491794222224</v>
      </c>
      <c r="E27" s="6">
        <v>1.4617491794222224</v>
      </c>
      <c r="F27" s="6">
        <v>1.4617491794222224</v>
      </c>
      <c r="G27" s="6"/>
    </row>
    <row r="28" spans="1:8" x14ac:dyDescent="0.25">
      <c r="A28" s="16" t="s">
        <v>119</v>
      </c>
      <c r="B28" s="6">
        <v>1.5258720344444443</v>
      </c>
      <c r="C28" s="6">
        <v>1.5258720344444443</v>
      </c>
      <c r="D28" s="6">
        <v>1.5258720344444443</v>
      </c>
      <c r="E28" s="6">
        <v>1.5258720344444443</v>
      </c>
      <c r="F28" s="6">
        <v>1.5258720344444443</v>
      </c>
      <c r="G28" s="6"/>
    </row>
    <row r="29" spans="1:8" x14ac:dyDescent="0.25">
      <c r="A29" s="16" t="s">
        <v>13</v>
      </c>
      <c r="B29" s="13"/>
      <c r="C29" s="13"/>
      <c r="D29" s="13"/>
      <c r="E29" s="13"/>
      <c r="F29" s="13"/>
      <c r="G29" s="6"/>
    </row>
    <row r="30" spans="1:8" x14ac:dyDescent="0.25">
      <c r="B30" s="6"/>
      <c r="C30" s="6"/>
      <c r="D30" s="6"/>
      <c r="E30" s="6"/>
      <c r="F30" s="6"/>
      <c r="G30" s="6"/>
    </row>
    <row r="31" spans="1:8" x14ac:dyDescent="0.25">
      <c r="A31" s="16" t="s">
        <v>14</v>
      </c>
      <c r="B31" s="6"/>
      <c r="C31" s="6"/>
      <c r="D31" s="6"/>
      <c r="E31" s="6"/>
      <c r="F31" s="6"/>
      <c r="G31" s="6"/>
    </row>
    <row r="32" spans="1:8" x14ac:dyDescent="0.25">
      <c r="A32" s="16" t="s">
        <v>59</v>
      </c>
      <c r="B32" s="6">
        <f>B16/B27</f>
        <v>161959878.71433374</v>
      </c>
      <c r="C32" s="6">
        <f>C16/C27</f>
        <v>17995542.079370417</v>
      </c>
      <c r="D32" s="6"/>
      <c r="E32" s="6"/>
      <c r="F32" s="6"/>
      <c r="G32" s="6"/>
    </row>
    <row r="33" spans="1:7" x14ac:dyDescent="0.25">
      <c r="A33" s="16" t="s">
        <v>120</v>
      </c>
      <c r="B33" s="6">
        <f>B18/B28</f>
        <v>166773443.51005945</v>
      </c>
      <c r="C33" s="6">
        <f>C18/C28</f>
        <v>18530382.612228826</v>
      </c>
      <c r="D33" s="6">
        <f>D18/D28</f>
        <v>76680019.738745674</v>
      </c>
      <c r="E33" s="6">
        <f>E18/E28</f>
        <v>5845372.2190717189</v>
      </c>
      <c r="F33" s="6">
        <f t="shared" ref="F33" si="1">F18/F28</f>
        <v>84248051.552242041</v>
      </c>
      <c r="G33" s="6"/>
    </row>
    <row r="34" spans="1:7" x14ac:dyDescent="0.25">
      <c r="A34" s="16" t="s">
        <v>60</v>
      </c>
      <c r="B34" s="6">
        <f>B32/B10</f>
        <v>399900.93509712035</v>
      </c>
      <c r="C34" s="6">
        <f>B32/C10</f>
        <v>515978.374665134</v>
      </c>
      <c r="D34" s="6"/>
      <c r="E34" s="6"/>
      <c r="F34" s="6"/>
      <c r="G34" s="6"/>
    </row>
    <row r="35" spans="1:7" x14ac:dyDescent="0.25">
      <c r="A35" s="16" t="s">
        <v>121</v>
      </c>
      <c r="B35" s="6">
        <f>B33/B12</f>
        <v>397079.62740490347</v>
      </c>
      <c r="C35" s="6">
        <f>B33/C12</f>
        <v>513675.90403509064</v>
      </c>
      <c r="D35" s="6"/>
    </row>
    <row r="36" spans="1:7" x14ac:dyDescent="0.25">
      <c r="B36" s="6"/>
      <c r="C36" s="6"/>
      <c r="D36" s="6"/>
      <c r="E36" s="6"/>
      <c r="F36" s="6"/>
      <c r="G36" s="6"/>
    </row>
    <row r="37" spans="1:7" x14ac:dyDescent="0.25">
      <c r="A37" s="19" t="s">
        <v>17</v>
      </c>
      <c r="B37" s="6"/>
      <c r="C37" s="6"/>
      <c r="D37" s="6"/>
      <c r="E37" s="6"/>
      <c r="F37" s="6"/>
      <c r="G37" s="6"/>
    </row>
    <row r="38" spans="1:7" x14ac:dyDescent="0.25">
      <c r="B38" s="6"/>
      <c r="C38" s="6"/>
      <c r="D38" s="6"/>
      <c r="E38" s="6"/>
      <c r="F38" s="6"/>
      <c r="G38" s="6"/>
    </row>
    <row r="39" spans="1:7" x14ac:dyDescent="0.25">
      <c r="A39" s="16" t="s">
        <v>18</v>
      </c>
      <c r="B39" s="6"/>
      <c r="C39" s="6"/>
      <c r="D39" s="6"/>
      <c r="E39" s="6"/>
      <c r="F39" s="6"/>
      <c r="G39" s="6"/>
    </row>
    <row r="40" spans="1:7" x14ac:dyDescent="0.25">
      <c r="A40" s="16" t="s">
        <v>19</v>
      </c>
      <c r="B40" s="6" t="s">
        <v>130</v>
      </c>
      <c r="C40" s="6" t="s">
        <v>130</v>
      </c>
      <c r="D40" s="6" t="s">
        <v>130</v>
      </c>
      <c r="E40" s="6" t="s">
        <v>130</v>
      </c>
      <c r="F40" s="6" t="s">
        <v>130</v>
      </c>
      <c r="G40" s="6"/>
    </row>
    <row r="41" spans="1:7" x14ac:dyDescent="0.25">
      <c r="A41" s="16" t="s">
        <v>20</v>
      </c>
      <c r="B41" s="6" t="s">
        <v>130</v>
      </c>
      <c r="C41" s="6" t="s">
        <v>130</v>
      </c>
      <c r="D41" s="6" t="s">
        <v>130</v>
      </c>
      <c r="E41" s="6" t="s">
        <v>130</v>
      </c>
      <c r="F41" s="6" t="s">
        <v>130</v>
      </c>
      <c r="G41" s="6"/>
    </row>
    <row r="42" spans="1:7" x14ac:dyDescent="0.25">
      <c r="B42" s="6"/>
      <c r="C42" s="6"/>
      <c r="D42" s="6"/>
      <c r="E42" s="6"/>
      <c r="F42" s="6"/>
      <c r="G42" s="6"/>
    </row>
    <row r="43" spans="1:7" x14ac:dyDescent="0.25">
      <c r="A43" s="16" t="s">
        <v>21</v>
      </c>
      <c r="B43" s="6"/>
      <c r="C43" s="6"/>
      <c r="D43" s="6"/>
      <c r="E43" s="6"/>
      <c r="F43" s="6"/>
      <c r="G43" s="6"/>
    </row>
    <row r="44" spans="1:7" x14ac:dyDescent="0.25">
      <c r="A44" s="16" t="s">
        <v>22</v>
      </c>
      <c r="B44" s="6">
        <f>B12/B11*100</f>
        <v>93.333333333333329</v>
      </c>
      <c r="C44" s="6">
        <f>C12/C11*100</f>
        <v>87.223880597014926</v>
      </c>
      <c r="D44" s="6"/>
      <c r="E44" s="6"/>
      <c r="F44" s="6"/>
      <c r="G44" s="6"/>
    </row>
    <row r="45" spans="1:7" x14ac:dyDescent="0.25">
      <c r="A45" s="16" t="s">
        <v>23</v>
      </c>
      <c r="B45" s="6">
        <f>B18/B17*100</f>
        <v>42.196785062561752</v>
      </c>
      <c r="C45" s="6">
        <f>C18/C17*100</f>
        <v>42.196785062561752</v>
      </c>
      <c r="D45" s="6">
        <f>D18/D17*100</f>
        <v>33.499334965870467</v>
      </c>
      <c r="E45" s="6">
        <f t="shared" ref="E45" si="2">E18/E17*100</f>
        <v>7.1257931061238731</v>
      </c>
      <c r="F45" s="6">
        <f>F18/F17*100</f>
        <v>99.942482113964488</v>
      </c>
      <c r="G45" s="6"/>
    </row>
    <row r="46" spans="1:7" x14ac:dyDescent="0.25">
      <c r="A46" s="16" t="s">
        <v>24</v>
      </c>
      <c r="B46" s="6">
        <f>AVERAGE(B44:B45)</f>
        <v>67.765059197947537</v>
      </c>
      <c r="C46" s="6">
        <f>AVERAGE(C44:C45)</f>
        <v>64.710332829788342</v>
      </c>
      <c r="D46" s="6"/>
      <c r="E46" s="6"/>
      <c r="F46" s="6"/>
      <c r="G46" s="6"/>
    </row>
    <row r="47" spans="1:7" x14ac:dyDescent="0.25">
      <c r="B47" s="6"/>
      <c r="C47" s="6"/>
      <c r="D47" s="6"/>
      <c r="E47" s="6"/>
      <c r="F47" s="6"/>
      <c r="G47" s="6"/>
    </row>
    <row r="48" spans="1:7" x14ac:dyDescent="0.25">
      <c r="A48" s="16" t="s">
        <v>25</v>
      </c>
      <c r="B48" s="6"/>
      <c r="C48" s="6"/>
      <c r="D48" s="6"/>
      <c r="E48" s="6"/>
      <c r="F48" s="6"/>
      <c r="G48" s="6"/>
    </row>
    <row r="49" spans="1:7" x14ac:dyDescent="0.25">
      <c r="A49" s="16" t="s">
        <v>26</v>
      </c>
      <c r="B49" s="6">
        <f>(B12*9)/(B13*12)*100</f>
        <v>70</v>
      </c>
      <c r="C49" s="6">
        <f>(C12*9)/(C13*12)*100</f>
        <v>58.440000000000005</v>
      </c>
      <c r="D49" s="6"/>
      <c r="E49" s="6"/>
      <c r="F49" s="6"/>
      <c r="G49" s="6"/>
    </row>
    <row r="50" spans="1:7" x14ac:dyDescent="0.25">
      <c r="A50" s="16" t="s">
        <v>27</v>
      </c>
      <c r="B50" s="6">
        <f>B18/B19*100</f>
        <v>59.739260828442312</v>
      </c>
      <c r="C50" s="6">
        <f>C18/C19*100</f>
        <v>59.739260828442312</v>
      </c>
      <c r="D50" s="6">
        <f>D18/D19*100</f>
        <v>67.953925358410174</v>
      </c>
      <c r="E50" s="6">
        <f t="shared" ref="E50:F50" si="3">E18/E19*100</f>
        <v>7.1257931061238731</v>
      </c>
      <c r="F50" s="6">
        <f t="shared" si="3"/>
        <v>99.942482113964488</v>
      </c>
      <c r="G50" s="6"/>
    </row>
    <row r="51" spans="1:7" x14ac:dyDescent="0.25">
      <c r="A51" s="16" t="s">
        <v>28</v>
      </c>
      <c r="B51" s="6">
        <f>(B49+B50)/2</f>
        <v>64.869630414221149</v>
      </c>
      <c r="C51" s="6">
        <f>(C49+C50)/2</f>
        <v>59.089630414221162</v>
      </c>
      <c r="D51" s="6"/>
      <c r="E51" s="6"/>
      <c r="F51" s="6"/>
      <c r="G51" s="6"/>
    </row>
    <row r="52" spans="1:7" x14ac:dyDescent="0.25">
      <c r="B52" s="6"/>
      <c r="C52" s="6"/>
      <c r="D52" s="6"/>
      <c r="E52" s="6"/>
      <c r="F52" s="6"/>
      <c r="G52" s="6"/>
    </row>
    <row r="53" spans="1:7" x14ac:dyDescent="0.25">
      <c r="A53" s="16" t="s">
        <v>65</v>
      </c>
      <c r="B53" s="6"/>
      <c r="C53" s="6"/>
      <c r="D53" s="6"/>
      <c r="E53" s="6"/>
      <c r="F53" s="6"/>
      <c r="G53" s="6"/>
    </row>
    <row r="54" spans="1:7" x14ac:dyDescent="0.25">
      <c r="A54" s="16" t="s">
        <v>29</v>
      </c>
      <c r="B54" s="6">
        <f>B20/B18*100</f>
        <v>0</v>
      </c>
      <c r="C54" s="6">
        <f>C20/C18*100</f>
        <v>0</v>
      </c>
      <c r="D54" s="6">
        <f t="shared" ref="D54:F54" si="4">D20/D18*100</f>
        <v>0</v>
      </c>
      <c r="E54" s="6">
        <f t="shared" si="4"/>
        <v>0</v>
      </c>
      <c r="F54" s="6">
        <f t="shared" si="4"/>
        <v>0</v>
      </c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A56" s="16" t="s">
        <v>30</v>
      </c>
      <c r="B56" s="6"/>
      <c r="C56" s="6"/>
      <c r="D56" s="6"/>
      <c r="E56" s="6"/>
      <c r="F56" s="6"/>
      <c r="G56" s="6"/>
    </row>
    <row r="57" spans="1:7" x14ac:dyDescent="0.25">
      <c r="A57" s="16" t="s">
        <v>31</v>
      </c>
      <c r="B57" s="6">
        <f>((B12/B10)-1)*100</f>
        <v>3.7037037037036979</v>
      </c>
      <c r="C57" s="6">
        <f>((C12/C10)-1)*100</f>
        <v>3.4336283185840699</v>
      </c>
      <c r="D57" s="6"/>
      <c r="E57" s="6"/>
      <c r="F57" s="6"/>
      <c r="G57" s="6"/>
    </row>
    <row r="58" spans="1:7" x14ac:dyDescent="0.25">
      <c r="A58" s="16" t="s">
        <v>32</v>
      </c>
      <c r="B58" s="6">
        <f>((B33/B32)-1)*100</f>
        <v>2.9720723638080315</v>
      </c>
      <c r="C58" s="6">
        <f>((C33/C32)-1)*100</f>
        <v>2.9720723638080093</v>
      </c>
      <c r="D58" s="6"/>
      <c r="E58" s="6"/>
      <c r="F58" s="6"/>
      <c r="G58" s="6"/>
    </row>
    <row r="59" spans="1:7" x14ac:dyDescent="0.25">
      <c r="A59" s="16" t="s">
        <v>33</v>
      </c>
      <c r="B59" s="6">
        <f>((B35/B34)-1)*100</f>
        <v>-0.70550164918511404</v>
      </c>
      <c r="C59" s="6">
        <f>((C35/C34)-1)*100</f>
        <v>-0.44623393985021576</v>
      </c>
      <c r="D59" s="6"/>
      <c r="E59" s="6"/>
      <c r="F59" s="6"/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A61" s="16" t="s">
        <v>34</v>
      </c>
      <c r="B61" s="6"/>
      <c r="C61" s="6"/>
      <c r="D61" s="6"/>
      <c r="E61" s="6"/>
      <c r="F61" s="6"/>
      <c r="G61" s="6"/>
    </row>
    <row r="62" spans="1:7" x14ac:dyDescent="0.25">
      <c r="A62" s="16" t="s">
        <v>66</v>
      </c>
      <c r="B62" s="6">
        <f>B17/(C11*9)</f>
        <v>180020.03379104479</v>
      </c>
      <c r="C62" s="6"/>
      <c r="D62" s="6"/>
      <c r="E62" s="6"/>
      <c r="F62" s="6"/>
      <c r="G62" s="6"/>
    </row>
    <row r="63" spans="1:7" x14ac:dyDescent="0.25">
      <c r="A63" s="16" t="s">
        <v>67</v>
      </c>
      <c r="B63" s="6">
        <f>B18/(C12*9)</f>
        <v>87089.29963723477</v>
      </c>
      <c r="C63" s="6"/>
      <c r="D63" s="6"/>
    </row>
    <row r="64" spans="1:7" x14ac:dyDescent="0.25">
      <c r="A64" s="16" t="s">
        <v>35</v>
      </c>
      <c r="B64" s="6">
        <f>(B62/B63)*B46</f>
        <v>140.07539729313646</v>
      </c>
      <c r="C64" s="6"/>
      <c r="D64" s="6"/>
      <c r="E64" s="6"/>
      <c r="F64" s="6"/>
      <c r="G64" s="6"/>
    </row>
    <row r="65" spans="1:8" x14ac:dyDescent="0.25">
      <c r="A65" s="14" t="s">
        <v>72</v>
      </c>
      <c r="B65" s="6">
        <f>B17/C11</f>
        <v>1620180.304119403</v>
      </c>
      <c r="C65" s="6"/>
      <c r="D65" s="6"/>
      <c r="E65" s="6"/>
      <c r="F65" s="6"/>
      <c r="G65" s="6"/>
    </row>
    <row r="66" spans="1:8" x14ac:dyDescent="0.25">
      <c r="A66" s="14" t="s">
        <v>73</v>
      </c>
      <c r="B66" s="6">
        <f>B18/C12</f>
        <v>783803.69673511281</v>
      </c>
      <c r="C66" s="6"/>
      <c r="D66" s="6"/>
      <c r="E66" s="6"/>
      <c r="F66" s="6"/>
      <c r="G66" s="6"/>
    </row>
    <row r="67" spans="1:8" x14ac:dyDescent="0.25">
      <c r="B67" s="6"/>
      <c r="C67" s="6"/>
      <c r="D67" s="6"/>
      <c r="E67" s="6"/>
      <c r="F67" s="6"/>
      <c r="G67" s="6"/>
    </row>
    <row r="68" spans="1:8" x14ac:dyDescent="0.25">
      <c r="A68" s="16" t="s">
        <v>36</v>
      </c>
      <c r="B68" s="6"/>
      <c r="C68" s="6"/>
      <c r="D68" s="6"/>
      <c r="E68" s="6"/>
      <c r="F68" s="6"/>
      <c r="G68" s="6"/>
    </row>
    <row r="69" spans="1:8" x14ac:dyDescent="0.25">
      <c r="A69" s="16" t="s">
        <v>37</v>
      </c>
      <c r="B69" s="6">
        <f>(B24/B23)*100</f>
        <v>23.866499074418439</v>
      </c>
      <c r="C69" s="6"/>
      <c r="D69" s="6"/>
      <c r="E69" s="6"/>
      <c r="F69" s="6"/>
      <c r="G69" s="6"/>
      <c r="H69" s="22"/>
    </row>
    <row r="70" spans="1:8" x14ac:dyDescent="0.25">
      <c r="A70" s="16" t="s">
        <v>38</v>
      </c>
      <c r="B70" s="6">
        <f>(B18/B24)*100</f>
        <v>176.80341356722414</v>
      </c>
      <c r="C70" s="6"/>
      <c r="D70" s="6"/>
      <c r="E70" s="6"/>
      <c r="F70" s="6"/>
      <c r="G70" s="6"/>
      <c r="H70" s="22"/>
    </row>
    <row r="71" spans="1:8" ht="15.75" thickBot="1" x14ac:dyDescent="0.3">
      <c r="A71" s="23"/>
      <c r="B71" s="23"/>
      <c r="C71" s="23"/>
      <c r="D71" s="23"/>
      <c r="E71" s="23"/>
      <c r="F71" s="23"/>
    </row>
    <row r="72" spans="1:8" ht="15.75" thickTop="1" x14ac:dyDescent="0.25"/>
    <row r="73" spans="1:8" x14ac:dyDescent="0.25">
      <c r="A73" s="24" t="s">
        <v>39</v>
      </c>
    </row>
    <row r="74" spans="1:8" x14ac:dyDescent="0.25">
      <c r="A74" s="24" t="s">
        <v>85</v>
      </c>
    </row>
    <row r="75" spans="1:8" x14ac:dyDescent="0.25">
      <c r="A75" s="25" t="s">
        <v>86</v>
      </c>
      <c r="B75" s="26"/>
      <c r="C75" s="26"/>
      <c r="D75" s="26"/>
      <c r="E75" s="26"/>
    </row>
    <row r="76" spans="1:8" x14ac:dyDescent="0.25">
      <c r="A76" s="11" t="s">
        <v>74</v>
      </c>
      <c r="B76" s="26"/>
      <c r="C76" s="26"/>
      <c r="D76" s="26"/>
      <c r="E76" s="26"/>
    </row>
    <row r="77" spans="1:8" x14ac:dyDescent="0.25">
      <c r="A77" t="s">
        <v>129</v>
      </c>
    </row>
    <row r="78" spans="1:8" x14ac:dyDescent="0.25">
      <c r="A78" s="15" t="s">
        <v>75</v>
      </c>
    </row>
    <row r="79" spans="1:8" x14ac:dyDescent="0.25">
      <c r="A79" s="15" t="s">
        <v>76</v>
      </c>
    </row>
  </sheetData>
  <mergeCells count="5">
    <mergeCell ref="A2:F2"/>
    <mergeCell ref="A4:A5"/>
    <mergeCell ref="B4:B5"/>
    <mergeCell ref="C4:C5"/>
    <mergeCell ref="D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tabSelected="1" topLeftCell="A70" zoomScaleNormal="100" workbookViewId="0">
      <selection activeCell="C10" sqref="C10"/>
    </sheetView>
  </sheetViews>
  <sheetFormatPr baseColWidth="10" defaultRowHeight="15" x14ac:dyDescent="0.25"/>
  <cols>
    <col min="1" max="1" width="55.140625" style="16" customWidth="1"/>
    <col min="2" max="2" width="13.85546875" style="16" bestFit="1" customWidth="1"/>
    <col min="3" max="3" width="13.85546875" style="16" customWidth="1"/>
    <col min="4" max="4" width="20.7109375" style="16" customWidth="1"/>
    <col min="5" max="5" width="13.7109375" style="16" customWidth="1"/>
    <col min="6" max="7" width="13.7109375" style="16" bestFit="1" customWidth="1"/>
    <col min="8" max="16384" width="11.42578125" style="16"/>
  </cols>
  <sheetData>
    <row r="2" spans="1:7" ht="15.75" x14ac:dyDescent="0.25">
      <c r="A2" s="39" t="s">
        <v>122</v>
      </c>
      <c r="B2" s="39"/>
      <c r="C2" s="39"/>
      <c r="D2" s="39"/>
      <c r="E2" s="39"/>
      <c r="F2" s="39"/>
    </row>
    <row r="4" spans="1:7" ht="15" customHeight="1" x14ac:dyDescent="0.25">
      <c r="A4" s="40" t="s">
        <v>0</v>
      </c>
      <c r="B4" s="42" t="s">
        <v>1</v>
      </c>
      <c r="C4" s="42" t="s">
        <v>44</v>
      </c>
      <c r="D4" s="44" t="s">
        <v>2</v>
      </c>
      <c r="E4" s="44"/>
      <c r="F4" s="44"/>
    </row>
    <row r="5" spans="1:7" ht="15.75" thickBot="1" x14ac:dyDescent="0.3">
      <c r="A5" s="41"/>
      <c r="B5" s="43"/>
      <c r="C5" s="43"/>
      <c r="D5" s="17" t="s">
        <v>3</v>
      </c>
      <c r="E5" s="18" t="s">
        <v>4</v>
      </c>
      <c r="F5" s="18" t="s">
        <v>5</v>
      </c>
    </row>
    <row r="6" spans="1:7" ht="15.75" thickTop="1" x14ac:dyDescent="0.25"/>
    <row r="7" spans="1:7" x14ac:dyDescent="0.25">
      <c r="A7" s="19" t="s">
        <v>6</v>
      </c>
    </row>
    <row r="8" spans="1:7" x14ac:dyDescent="0.25">
      <c r="B8" s="6"/>
      <c r="C8" s="6"/>
      <c r="D8" s="6"/>
      <c r="E8" s="6"/>
      <c r="F8" s="6"/>
      <c r="G8" s="6"/>
    </row>
    <row r="9" spans="1:7" x14ac:dyDescent="0.25">
      <c r="A9" s="16" t="s">
        <v>7</v>
      </c>
      <c r="B9" s="6"/>
      <c r="C9" s="6"/>
      <c r="D9" s="6"/>
      <c r="E9" s="6"/>
      <c r="F9" s="6"/>
      <c r="G9" s="6"/>
    </row>
    <row r="10" spans="1:7" x14ac:dyDescent="0.25">
      <c r="A10" s="20" t="s">
        <v>61</v>
      </c>
      <c r="B10" s="13">
        <f>'I Trimestre'!B10</f>
        <v>405</v>
      </c>
      <c r="C10" s="13">
        <f>('I Trimestre'!C10+'II Trimestre'!C10+'III Trimestre'!C10+'IV Trimestre'!C10)/4</f>
        <v>315.41666666666669</v>
      </c>
      <c r="D10" s="6"/>
      <c r="E10" s="6"/>
      <c r="F10" s="6"/>
      <c r="G10" s="6"/>
    </row>
    <row r="11" spans="1:7" x14ac:dyDescent="0.25">
      <c r="A11" s="20" t="s">
        <v>123</v>
      </c>
      <c r="B11" s="13">
        <f>'I Trimestre'!B11</f>
        <v>450</v>
      </c>
      <c r="C11" s="13">
        <f>('I Trimestre'!C11+'II Trimestre'!C11+'III Trimestre'!C11+'IV Trimestre'!C11)/4</f>
        <v>379.16666666666669</v>
      </c>
      <c r="D11" s="6"/>
      <c r="E11" s="6"/>
      <c r="F11" s="6"/>
      <c r="G11" s="6"/>
    </row>
    <row r="12" spans="1:7" x14ac:dyDescent="0.25">
      <c r="A12" s="20" t="s">
        <v>124</v>
      </c>
      <c r="B12" s="13">
        <f>'I Trimestre'!B12</f>
        <v>420</v>
      </c>
      <c r="C12" s="13">
        <f>('I Trimestre'!C12+'II Trimestre'!C12+'III Trimestre'!C12+'IV Trimestre'!C12)/4</f>
        <v>324.75</v>
      </c>
      <c r="D12" s="6"/>
    </row>
    <row r="13" spans="1:7" x14ac:dyDescent="0.25">
      <c r="A13" s="20" t="s">
        <v>80</v>
      </c>
      <c r="B13" s="13">
        <f>'I Trimestre'!B13</f>
        <v>450</v>
      </c>
      <c r="C13" s="13">
        <f>('I Trimestre'!C13+'II Trimestre'!C13+'III Trimestre'!C13+'IV Trimestre'!C13)/4</f>
        <v>412.5</v>
      </c>
      <c r="D13" s="6"/>
      <c r="E13" s="6"/>
      <c r="F13" s="6"/>
      <c r="G13" s="6"/>
    </row>
    <row r="14" spans="1:7" x14ac:dyDescent="0.25">
      <c r="B14" s="6"/>
      <c r="C14" s="6"/>
      <c r="D14" s="6"/>
      <c r="E14" s="6"/>
      <c r="F14" s="6"/>
      <c r="G14" s="6"/>
    </row>
    <row r="15" spans="1:7" x14ac:dyDescent="0.25">
      <c r="A15" s="21" t="s">
        <v>9</v>
      </c>
      <c r="B15" s="6"/>
      <c r="C15" s="6"/>
      <c r="D15" s="6"/>
      <c r="E15" s="6"/>
      <c r="F15" s="6"/>
      <c r="G15" s="6"/>
    </row>
    <row r="16" spans="1:7" x14ac:dyDescent="0.25">
      <c r="A16" s="20" t="s">
        <v>61</v>
      </c>
      <c r="B16" s="6">
        <f>'I Trimestre'!B16+'II Trimestre'!B16+'III Trimestre'!B16+'IV Trimestre'!B16</f>
        <v>461413353.01999998</v>
      </c>
      <c r="C16" s="6"/>
      <c r="D16" s="6"/>
      <c r="E16" s="6"/>
      <c r="F16" s="6"/>
      <c r="G16" s="6"/>
    </row>
    <row r="17" spans="1:8" x14ac:dyDescent="0.25">
      <c r="A17" s="20" t="s">
        <v>123</v>
      </c>
      <c r="B17" s="6">
        <f>SUM(D17:F17)</f>
        <v>641976033.20000005</v>
      </c>
      <c r="C17" s="6">
        <f>+B17/12</f>
        <v>53498002.766666673</v>
      </c>
      <c r="D17" s="6">
        <f>'I Trimestre'!D17+'II Trimestre'!D17+'III Trimestre'!D17+'IV Trimestre'!D17</f>
        <v>388181220</v>
      </c>
      <c r="E17" s="6">
        <f>'I Trimestre'!E17+'II Trimestre'!E17+'III Trimestre'!E17+'IV Trimestre'!E17</f>
        <v>125169084.58</v>
      </c>
      <c r="F17" s="6">
        <f>'I Trimestre'!F17+'II Trimestre'!F17+'III Trimestre'!F17+'IV Trimestre'!F17</f>
        <v>128625728.62</v>
      </c>
      <c r="G17" s="6"/>
    </row>
    <row r="18" spans="1:8" x14ac:dyDescent="0.25">
      <c r="A18" s="20" t="s">
        <v>124</v>
      </c>
      <c r="B18" s="6">
        <f>SUM(D18:F18)</f>
        <v>369431202.26999998</v>
      </c>
      <c r="C18" s="6">
        <f t="shared" ref="C18:C19" si="0">+B18/12</f>
        <v>30785933.522499997</v>
      </c>
      <c r="D18" s="6">
        <f>'I Trimestre'!D18+'II Trimestre'!D18+'III Trimestre'!D18+'IV Trimestre'!D18</f>
        <v>172185472.68000001</v>
      </c>
      <c r="E18" s="6">
        <f>'I Trimestre'!E18+'II Trimestre'!E18+'III Trimestre'!E18+'IV Trimestre'!E18</f>
        <v>46543983.770000003</v>
      </c>
      <c r="F18" s="6">
        <f>'I Trimestre'!F18+'II Trimestre'!F18+'III Trimestre'!F18+'IV Trimestre'!F18</f>
        <v>150701745.81999999</v>
      </c>
      <c r="G18" s="6"/>
    </row>
    <row r="19" spans="1:8" x14ac:dyDescent="0.25">
      <c r="A19" s="20" t="s">
        <v>80</v>
      </c>
      <c r="B19" s="6">
        <f>SUM(D19:F19)</f>
        <v>425976033.19999999</v>
      </c>
      <c r="C19" s="6">
        <f t="shared" si="0"/>
        <v>35498002.766666666</v>
      </c>
      <c r="D19" s="6">
        <f>+'IV Trimestre'!D19</f>
        <v>172181220</v>
      </c>
      <c r="E19" s="6">
        <f>+'IV Trimestre'!E19</f>
        <v>125169084.58</v>
      </c>
      <c r="F19" s="6">
        <f>+'IV Trimestre'!F19</f>
        <v>128625728.62</v>
      </c>
      <c r="G19" s="6"/>
    </row>
    <row r="20" spans="1:8" x14ac:dyDescent="0.25">
      <c r="A20" s="20" t="s">
        <v>125</v>
      </c>
      <c r="B20" s="6"/>
      <c r="C20" s="6"/>
      <c r="D20" s="6"/>
      <c r="E20" s="6"/>
      <c r="F20" s="6"/>
      <c r="G20" s="6"/>
    </row>
    <row r="21" spans="1:8" x14ac:dyDescent="0.25">
      <c r="B21" s="6"/>
      <c r="C21" s="6"/>
      <c r="D21" s="6"/>
      <c r="E21" s="6"/>
      <c r="F21" s="6"/>
      <c r="G21" s="6"/>
    </row>
    <row r="22" spans="1:8" x14ac:dyDescent="0.25">
      <c r="A22" s="21" t="s">
        <v>10</v>
      </c>
      <c r="B22" s="6"/>
      <c r="C22" s="6"/>
      <c r="D22" s="6"/>
      <c r="E22" s="6"/>
      <c r="F22" s="6"/>
      <c r="G22" s="6"/>
    </row>
    <row r="23" spans="1:8" x14ac:dyDescent="0.25">
      <c r="A23" s="20" t="s">
        <v>123</v>
      </c>
      <c r="B23" s="6">
        <f>B17</f>
        <v>641976033.20000005</v>
      </c>
      <c r="C23" s="6"/>
      <c r="D23" s="6"/>
      <c r="E23" s="6"/>
      <c r="F23" s="6"/>
      <c r="G23" s="6"/>
      <c r="H23" s="22"/>
    </row>
    <row r="24" spans="1:8" x14ac:dyDescent="0.25">
      <c r="A24" s="20" t="s">
        <v>124</v>
      </c>
      <c r="B24" s="6">
        <f>'I Trimestre'!B24+'II Trimestre'!B24+'III Trimestre'!B24+'IV Trimestre'!B24</f>
        <v>596707796.99000001</v>
      </c>
      <c r="C24" s="6"/>
      <c r="D24" s="6"/>
      <c r="E24" s="6"/>
      <c r="F24" s="6"/>
      <c r="G24" s="6"/>
      <c r="H24" s="22"/>
    </row>
    <row r="25" spans="1:8" x14ac:dyDescent="0.25">
      <c r="B25" s="6"/>
      <c r="C25" s="6"/>
      <c r="D25" s="6"/>
      <c r="E25" s="6"/>
      <c r="F25" s="6"/>
      <c r="G25" s="6"/>
    </row>
    <row r="26" spans="1:8" x14ac:dyDescent="0.25">
      <c r="A26" s="16" t="s">
        <v>11</v>
      </c>
      <c r="B26" s="6"/>
      <c r="C26" s="6"/>
      <c r="D26" s="6"/>
      <c r="E26" s="6"/>
      <c r="F26" s="6"/>
      <c r="G26" s="6"/>
    </row>
    <row r="27" spans="1:8" x14ac:dyDescent="0.25">
      <c r="A27" s="16" t="s">
        <v>62</v>
      </c>
      <c r="B27" s="6">
        <v>1.4683304717083334</v>
      </c>
      <c r="C27" s="6">
        <v>1.4683304717083334</v>
      </c>
      <c r="D27" s="6">
        <v>1.4683304717083334</v>
      </c>
      <c r="E27" s="6">
        <v>1.4683304717083334</v>
      </c>
      <c r="F27" s="6">
        <v>1.4683304717083334</v>
      </c>
      <c r="G27" s="6"/>
    </row>
    <row r="28" spans="1:8" x14ac:dyDescent="0.25">
      <c r="A28" s="16" t="s">
        <v>126</v>
      </c>
      <c r="B28" s="6">
        <v>1.53</v>
      </c>
      <c r="C28" s="6">
        <v>1.53</v>
      </c>
      <c r="D28" s="6">
        <v>1.53</v>
      </c>
      <c r="E28" s="6">
        <v>1.53</v>
      </c>
      <c r="F28" s="6">
        <v>1.53</v>
      </c>
      <c r="G28" s="6"/>
    </row>
    <row r="29" spans="1:8" x14ac:dyDescent="0.25">
      <c r="A29" s="16" t="s">
        <v>13</v>
      </c>
      <c r="B29" s="13"/>
      <c r="C29" s="13"/>
      <c r="D29" s="13"/>
      <c r="E29" s="13"/>
      <c r="F29" s="13"/>
      <c r="G29" s="6"/>
    </row>
    <row r="30" spans="1:8" x14ac:dyDescent="0.25">
      <c r="B30" s="6"/>
      <c r="C30" s="6"/>
      <c r="D30" s="6"/>
      <c r="E30" s="6"/>
      <c r="F30" s="6"/>
      <c r="G30" s="6"/>
    </row>
    <row r="31" spans="1:8" x14ac:dyDescent="0.25">
      <c r="A31" s="16" t="s">
        <v>14</v>
      </c>
      <c r="B31" s="6"/>
      <c r="C31" s="6"/>
      <c r="D31" s="6"/>
      <c r="E31" s="6"/>
      <c r="F31" s="6"/>
      <c r="G31" s="6"/>
    </row>
    <row r="32" spans="1:8" x14ac:dyDescent="0.25">
      <c r="A32" s="16" t="s">
        <v>63</v>
      </c>
      <c r="B32" s="6">
        <f>B16/B27</f>
        <v>314243531.62348205</v>
      </c>
      <c r="C32" s="6">
        <f>C16/C27</f>
        <v>0</v>
      </c>
      <c r="D32" s="6"/>
      <c r="E32" s="6"/>
      <c r="F32" s="6"/>
      <c r="G32" s="6"/>
    </row>
    <row r="33" spans="1:7" x14ac:dyDescent="0.25">
      <c r="A33" s="16" t="s">
        <v>127</v>
      </c>
      <c r="B33" s="6">
        <f>B18/B28</f>
        <v>241458302.13725489</v>
      </c>
      <c r="C33" s="6">
        <f>C18/C28</f>
        <v>20121525.178104572</v>
      </c>
      <c r="D33" s="6">
        <f>D18/D28</f>
        <v>112539524.62745099</v>
      </c>
      <c r="E33" s="6">
        <f>E18/E28</f>
        <v>30420904.424836602</v>
      </c>
      <c r="F33" s="6">
        <f t="shared" ref="F33" si="1">F18/F28</f>
        <v>98497873.084967315</v>
      </c>
      <c r="G33" s="6"/>
    </row>
    <row r="34" spans="1:7" x14ac:dyDescent="0.25">
      <c r="A34" s="16" t="s">
        <v>64</v>
      </c>
      <c r="B34" s="6">
        <f>B32/B10</f>
        <v>775909.95462588163</v>
      </c>
      <c r="C34" s="6">
        <f>B32/C10</f>
        <v>996280.68150113197</v>
      </c>
      <c r="D34" s="6"/>
      <c r="E34" s="6"/>
      <c r="F34" s="6"/>
      <c r="G34" s="6"/>
    </row>
    <row r="35" spans="1:7" x14ac:dyDescent="0.25">
      <c r="A35" s="16" t="s">
        <v>128</v>
      </c>
      <c r="B35" s="6">
        <f>B33/B12</f>
        <v>574900.7193744164</v>
      </c>
      <c r="C35" s="6">
        <f>B33/C12</f>
        <v>743520.5608537487</v>
      </c>
      <c r="D35" s="6"/>
    </row>
    <row r="36" spans="1:7" x14ac:dyDescent="0.25">
      <c r="B36" s="6"/>
      <c r="C36" s="6"/>
      <c r="D36" s="6"/>
      <c r="E36" s="6"/>
      <c r="F36" s="6"/>
      <c r="G36" s="6"/>
    </row>
    <row r="37" spans="1:7" x14ac:dyDescent="0.25">
      <c r="A37" s="19" t="s">
        <v>17</v>
      </c>
      <c r="B37" s="6"/>
      <c r="C37" s="6"/>
      <c r="D37" s="6"/>
      <c r="E37" s="6"/>
      <c r="F37" s="6"/>
      <c r="G37" s="6"/>
    </row>
    <row r="38" spans="1:7" x14ac:dyDescent="0.25">
      <c r="B38" s="6"/>
      <c r="C38" s="6"/>
      <c r="D38" s="6"/>
      <c r="E38" s="6"/>
      <c r="F38" s="6"/>
      <c r="G38" s="6"/>
    </row>
    <row r="39" spans="1:7" x14ac:dyDescent="0.25">
      <c r="A39" s="16" t="s">
        <v>18</v>
      </c>
      <c r="B39" s="6"/>
      <c r="C39" s="6"/>
      <c r="D39" s="6"/>
      <c r="E39" s="6"/>
      <c r="F39" s="6"/>
      <c r="G39" s="6"/>
    </row>
    <row r="40" spans="1:7" x14ac:dyDescent="0.25">
      <c r="A40" s="16" t="s">
        <v>19</v>
      </c>
      <c r="B40" s="6" t="s">
        <v>130</v>
      </c>
      <c r="C40" s="6" t="s">
        <v>130</v>
      </c>
      <c r="D40" s="6" t="s">
        <v>130</v>
      </c>
      <c r="E40" s="6" t="s">
        <v>130</v>
      </c>
      <c r="F40" s="6" t="s">
        <v>130</v>
      </c>
      <c r="G40" s="6"/>
    </row>
    <row r="41" spans="1:7" x14ac:dyDescent="0.25">
      <c r="A41" s="16" t="s">
        <v>20</v>
      </c>
      <c r="B41" s="6" t="s">
        <v>130</v>
      </c>
      <c r="C41" s="6" t="s">
        <v>130</v>
      </c>
      <c r="D41" s="6" t="s">
        <v>130</v>
      </c>
      <c r="E41" s="6" t="s">
        <v>130</v>
      </c>
      <c r="F41" s="6" t="s">
        <v>130</v>
      </c>
      <c r="G41" s="6"/>
    </row>
    <row r="42" spans="1:7" x14ac:dyDescent="0.25">
      <c r="B42" s="6"/>
      <c r="C42" s="6"/>
      <c r="D42" s="6"/>
      <c r="E42" s="6"/>
      <c r="F42" s="6"/>
      <c r="G42" s="6"/>
    </row>
    <row r="43" spans="1:7" x14ac:dyDescent="0.25">
      <c r="A43" s="16" t="s">
        <v>21</v>
      </c>
      <c r="B43" s="6"/>
      <c r="C43" s="6"/>
      <c r="D43" s="6"/>
      <c r="E43" s="6"/>
      <c r="F43" s="6"/>
      <c r="G43" s="6"/>
    </row>
    <row r="44" spans="1:7" x14ac:dyDescent="0.25">
      <c r="A44" s="16" t="s">
        <v>22</v>
      </c>
      <c r="B44" s="6">
        <f>B12/B11*100</f>
        <v>93.333333333333329</v>
      </c>
      <c r="C44" s="6">
        <f>C12/C11*100</f>
        <v>85.648351648351635</v>
      </c>
      <c r="D44" s="6"/>
      <c r="E44" s="6"/>
      <c r="F44" s="6"/>
      <c r="G44" s="6"/>
    </row>
    <row r="45" spans="1:7" x14ac:dyDescent="0.25">
      <c r="A45" s="16" t="s">
        <v>23</v>
      </c>
      <c r="B45" s="6">
        <f>B18/B17*100</f>
        <v>57.545949251178364</v>
      </c>
      <c r="C45" s="6">
        <f>C18/C17*100</f>
        <v>57.545949251178349</v>
      </c>
      <c r="D45" s="6">
        <f>D18/D17*100</f>
        <v>44.356981690149773</v>
      </c>
      <c r="E45" s="6">
        <f t="shared" ref="E45" si="2">E18/E17*100</f>
        <v>37.184887886794513</v>
      </c>
      <c r="F45" s="6">
        <f>F18/F17*100</f>
        <v>117.16298709196768</v>
      </c>
      <c r="G45" s="6"/>
    </row>
    <row r="46" spans="1:7" x14ac:dyDescent="0.25">
      <c r="A46" s="16" t="s">
        <v>24</v>
      </c>
      <c r="B46" s="6">
        <f>AVERAGE(B44:B45)</f>
        <v>75.439641292255843</v>
      </c>
      <c r="C46" s="6">
        <f>AVERAGE(C44:C45)</f>
        <v>71.597150449764996</v>
      </c>
      <c r="D46" s="6"/>
      <c r="E46" s="6"/>
      <c r="F46" s="6"/>
      <c r="G46" s="6"/>
    </row>
    <row r="47" spans="1:7" x14ac:dyDescent="0.25">
      <c r="B47" s="6"/>
      <c r="C47" s="6"/>
      <c r="D47" s="6"/>
      <c r="E47" s="6"/>
      <c r="F47" s="6"/>
      <c r="G47" s="6"/>
    </row>
    <row r="48" spans="1:7" x14ac:dyDescent="0.25">
      <c r="A48" s="16" t="s">
        <v>25</v>
      </c>
      <c r="B48" s="6"/>
      <c r="C48" s="6"/>
      <c r="D48" s="6"/>
      <c r="E48" s="6"/>
      <c r="F48" s="6"/>
      <c r="G48" s="6"/>
    </row>
    <row r="49" spans="1:7" x14ac:dyDescent="0.25">
      <c r="A49" s="16" t="s">
        <v>26</v>
      </c>
      <c r="B49" s="6">
        <f>(B12*12)/(B13*12)*100</f>
        <v>93.333333333333329</v>
      </c>
      <c r="C49" s="6">
        <f>(C12*12)/(C13*12)*100</f>
        <v>78.72727272727272</v>
      </c>
      <c r="D49" s="6"/>
      <c r="E49" s="6"/>
      <c r="F49" s="6"/>
      <c r="G49" s="6"/>
    </row>
    <row r="50" spans="1:7" x14ac:dyDescent="0.25">
      <c r="A50" s="16" t="s">
        <v>27</v>
      </c>
      <c r="B50" s="6">
        <f>B18/B19*100</f>
        <v>86.725818702703478</v>
      </c>
      <c r="C50" s="6">
        <f>C18/C19*100</f>
        <v>86.725818702703478</v>
      </c>
      <c r="D50" s="6">
        <f>D18/D19*100</f>
        <v>100.00246988608863</v>
      </c>
      <c r="E50" s="6">
        <f t="shared" ref="E50:F50" si="3">E18/E19*100</f>
        <v>37.184887886794513</v>
      </c>
      <c r="F50" s="6">
        <f t="shared" si="3"/>
        <v>117.16298709196768</v>
      </c>
      <c r="G50" s="6"/>
    </row>
    <row r="51" spans="1:7" x14ac:dyDescent="0.25">
      <c r="A51" s="16" t="s">
        <v>28</v>
      </c>
      <c r="B51" s="6">
        <f>(B49+B50)/2</f>
        <v>90.029576018018403</v>
      </c>
      <c r="C51" s="6">
        <f>(C49+C50)/2</f>
        <v>82.726545714988106</v>
      </c>
      <c r="D51" s="6"/>
      <c r="E51" s="6"/>
      <c r="F51" s="6"/>
      <c r="G51" s="6"/>
    </row>
    <row r="52" spans="1:7" x14ac:dyDescent="0.25">
      <c r="B52" s="6"/>
      <c r="C52" s="6"/>
      <c r="D52" s="6"/>
      <c r="E52" s="6"/>
      <c r="F52" s="6"/>
      <c r="G52" s="6"/>
    </row>
    <row r="53" spans="1:7" x14ac:dyDescent="0.25">
      <c r="A53" s="16" t="s">
        <v>65</v>
      </c>
      <c r="B53" s="6"/>
      <c r="C53" s="6"/>
      <c r="D53" s="6"/>
      <c r="E53" s="6"/>
      <c r="F53" s="6"/>
      <c r="G53" s="6"/>
    </row>
    <row r="54" spans="1:7" x14ac:dyDescent="0.25">
      <c r="A54" s="16" t="s">
        <v>29</v>
      </c>
      <c r="B54" s="6">
        <f>B20/B18*100</f>
        <v>0</v>
      </c>
      <c r="C54" s="6">
        <f>C20/C18*100</f>
        <v>0</v>
      </c>
      <c r="D54" s="6">
        <f t="shared" ref="D54:F54" si="4">D20/D18*100</f>
        <v>0</v>
      </c>
      <c r="E54" s="6">
        <f t="shared" si="4"/>
        <v>0</v>
      </c>
      <c r="F54" s="6">
        <f t="shared" si="4"/>
        <v>0</v>
      </c>
      <c r="G54" s="6"/>
    </row>
    <row r="55" spans="1:7" x14ac:dyDescent="0.25">
      <c r="B55" s="6"/>
      <c r="C55" s="6"/>
      <c r="D55" s="6"/>
      <c r="E55" s="6"/>
      <c r="F55" s="6"/>
      <c r="G55" s="6"/>
    </row>
    <row r="56" spans="1:7" x14ac:dyDescent="0.25">
      <c r="A56" s="16" t="s">
        <v>30</v>
      </c>
      <c r="B56" s="6"/>
      <c r="C56" s="6"/>
      <c r="D56" s="6"/>
      <c r="E56" s="6"/>
      <c r="F56" s="6"/>
      <c r="G56" s="6"/>
    </row>
    <row r="57" spans="1:7" x14ac:dyDescent="0.25">
      <c r="A57" s="16" t="s">
        <v>31</v>
      </c>
      <c r="B57" s="6">
        <f>((B12/B10)-1)*100</f>
        <v>3.7037037037036979</v>
      </c>
      <c r="C57" s="6">
        <f>((C12/C10)-1)*100</f>
        <v>2.9590488771466195</v>
      </c>
      <c r="D57" s="6"/>
      <c r="E57" s="6"/>
      <c r="F57" s="6"/>
      <c r="G57" s="6"/>
    </row>
    <row r="58" spans="1:7" x14ac:dyDescent="0.25">
      <c r="A58" s="16" t="s">
        <v>32</v>
      </c>
      <c r="B58" s="6">
        <f>((B33/B32)-1)*100</f>
        <v>-23.16204540796608</v>
      </c>
      <c r="C58" s="6" t="e">
        <f>((C33/C32)-1)*100</f>
        <v>#DIV/0!</v>
      </c>
      <c r="D58" s="6"/>
      <c r="E58" s="6"/>
      <c r="F58" s="6"/>
      <c r="G58" s="6"/>
    </row>
    <row r="59" spans="1:7" x14ac:dyDescent="0.25">
      <c r="A59" s="16" t="s">
        <v>33</v>
      </c>
      <c r="B59" s="6">
        <f>((B35/B34)-1)*100</f>
        <v>-25.906258071967294</v>
      </c>
      <c r="C59" s="6">
        <f>((C35/C34)-1)*100</f>
        <v>-25.370372560726608</v>
      </c>
      <c r="D59" s="6"/>
      <c r="E59" s="6"/>
      <c r="F59" s="6"/>
      <c r="G59" s="6"/>
    </row>
    <row r="60" spans="1:7" x14ac:dyDescent="0.25">
      <c r="B60" s="6"/>
      <c r="C60" s="6"/>
      <c r="D60" s="6"/>
      <c r="E60" s="6"/>
      <c r="F60" s="6"/>
      <c r="G60" s="6"/>
    </row>
    <row r="61" spans="1:7" x14ac:dyDescent="0.25">
      <c r="A61" s="16" t="s">
        <v>34</v>
      </c>
      <c r="B61" s="6"/>
      <c r="C61" s="6"/>
      <c r="D61" s="6"/>
      <c r="E61" s="6"/>
      <c r="F61" s="6"/>
      <c r="G61" s="6"/>
    </row>
    <row r="62" spans="1:7" x14ac:dyDescent="0.25">
      <c r="A62" s="16" t="s">
        <v>66</v>
      </c>
      <c r="B62" s="6">
        <f>B17/(C11*12)</f>
        <v>141093.63367032967</v>
      </c>
      <c r="C62" s="6"/>
      <c r="D62" s="6"/>
      <c r="E62" s="6"/>
      <c r="F62" s="6"/>
      <c r="G62" s="6"/>
    </row>
    <row r="63" spans="1:7" x14ac:dyDescent="0.25">
      <c r="A63" s="16" t="s">
        <v>67</v>
      </c>
      <c r="B63" s="6">
        <f>B18/(C12*12)</f>
        <v>94798.871508852957</v>
      </c>
      <c r="C63" s="6"/>
      <c r="D63" s="6"/>
    </row>
    <row r="64" spans="1:7" x14ac:dyDescent="0.25">
      <c r="A64" s="16" t="s">
        <v>35</v>
      </c>
      <c r="B64" s="6">
        <f>(B62/B63)*B46</f>
        <v>112.28037784939886</v>
      </c>
      <c r="C64" s="6"/>
      <c r="D64" s="6"/>
      <c r="E64" s="6"/>
      <c r="F64" s="6"/>
      <c r="G64" s="6"/>
    </row>
    <row r="65" spans="1:8" x14ac:dyDescent="0.25">
      <c r="A65" s="14" t="s">
        <v>72</v>
      </c>
      <c r="B65" s="6">
        <f>B17/C11</f>
        <v>1693123.6040439561</v>
      </c>
      <c r="C65" s="6"/>
      <c r="D65" s="6"/>
      <c r="E65" s="6"/>
      <c r="F65" s="6"/>
      <c r="G65" s="6"/>
    </row>
    <row r="66" spans="1:8" x14ac:dyDescent="0.25">
      <c r="A66" s="14" t="s">
        <v>73</v>
      </c>
      <c r="B66" s="6">
        <f>B18/C12</f>
        <v>1137586.4581062356</v>
      </c>
      <c r="C66" s="6"/>
      <c r="D66" s="6"/>
      <c r="E66" s="6"/>
      <c r="F66" s="6"/>
      <c r="G66" s="6"/>
    </row>
    <row r="67" spans="1:8" x14ac:dyDescent="0.25">
      <c r="B67" s="6"/>
      <c r="C67" s="6"/>
      <c r="D67" s="6"/>
      <c r="E67" s="6"/>
      <c r="F67" s="6"/>
      <c r="G67" s="6"/>
    </row>
    <row r="68" spans="1:8" x14ac:dyDescent="0.25">
      <c r="A68" s="16" t="s">
        <v>36</v>
      </c>
      <c r="B68" s="6"/>
      <c r="C68" s="6"/>
      <c r="D68" s="6"/>
      <c r="E68" s="6"/>
      <c r="F68" s="6"/>
      <c r="G68" s="6"/>
    </row>
    <row r="69" spans="1:8" x14ac:dyDescent="0.25">
      <c r="A69" s="16" t="s">
        <v>37</v>
      </c>
      <c r="B69" s="6">
        <f>(B24/B23)*100</f>
        <v>92.948609625758834</v>
      </c>
      <c r="C69" s="6"/>
      <c r="D69" s="6"/>
      <c r="E69" s="6"/>
      <c r="F69" s="6"/>
      <c r="G69" s="6"/>
      <c r="H69" s="22"/>
    </row>
    <row r="70" spans="1:8" x14ac:dyDescent="0.25">
      <c r="A70" s="16" t="s">
        <v>38</v>
      </c>
      <c r="B70" s="6">
        <f>(B18/B24)*100</f>
        <v>61.911576174056783</v>
      </c>
      <c r="C70" s="6"/>
      <c r="D70" s="6"/>
      <c r="E70" s="6"/>
      <c r="F70" s="6"/>
      <c r="G70" s="6"/>
      <c r="H70" s="22"/>
    </row>
    <row r="71" spans="1:8" ht="15.75" thickBot="1" x14ac:dyDescent="0.3">
      <c r="A71" s="23"/>
      <c r="B71" s="23"/>
      <c r="C71" s="23"/>
      <c r="D71" s="23"/>
      <c r="E71" s="23"/>
      <c r="F71" s="23"/>
    </row>
    <row r="72" spans="1:8" ht="15.75" thickTop="1" x14ac:dyDescent="0.25"/>
    <row r="73" spans="1:8" x14ac:dyDescent="0.25">
      <c r="A73" s="24" t="s">
        <v>39</v>
      </c>
    </row>
    <row r="74" spans="1:8" x14ac:dyDescent="0.25">
      <c r="A74" s="24" t="s">
        <v>85</v>
      </c>
    </row>
    <row r="75" spans="1:8" x14ac:dyDescent="0.25">
      <c r="A75" s="25" t="s">
        <v>86</v>
      </c>
      <c r="B75" s="26"/>
      <c r="C75" s="26"/>
      <c r="D75" s="26"/>
      <c r="E75" s="26"/>
    </row>
    <row r="76" spans="1:8" x14ac:dyDescent="0.25">
      <c r="A76" s="11" t="s">
        <v>74</v>
      </c>
      <c r="B76" s="26"/>
      <c r="C76" s="26"/>
      <c r="D76" s="26"/>
      <c r="E76" s="26"/>
    </row>
    <row r="77" spans="1:8" x14ac:dyDescent="0.25">
      <c r="A77" t="s">
        <v>129</v>
      </c>
    </row>
    <row r="78" spans="1:8" x14ac:dyDescent="0.25">
      <c r="A78" s="15" t="s">
        <v>75</v>
      </c>
    </row>
    <row r="79" spans="1:8" x14ac:dyDescent="0.25">
      <c r="A79" s="15" t="s">
        <v>76</v>
      </c>
    </row>
  </sheetData>
  <mergeCells count="5">
    <mergeCell ref="A2:F2"/>
    <mergeCell ref="A4:A5"/>
    <mergeCell ref="B4:B5"/>
    <mergeCell ref="C4:C5"/>
    <mergeCell ref="D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 2012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Sayra Rojas Rios</cp:lastModifiedBy>
  <dcterms:created xsi:type="dcterms:W3CDTF">2012-03-15T15:44:58Z</dcterms:created>
  <dcterms:modified xsi:type="dcterms:W3CDTF">2013-10-29T20:44:58Z</dcterms:modified>
</cp:coreProperties>
</file>