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jas\Documents\Hermes Cliente\files\"/>
    </mc:Choice>
  </mc:AlternateContent>
  <bookViews>
    <workbookView xWindow="120" yWindow="45" windowWidth="17400" windowHeight="7995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3 Trimestre Acumulado" sheetId="6" r:id="rId6"/>
    <sheet name="Anual 2012" sheetId="7" r:id="rId7"/>
  </sheets>
  <calcPr calcId="152511"/>
</workbook>
</file>

<file path=xl/calcChain.xml><?xml version="1.0" encoding="utf-8"?>
<calcChain xmlns="http://schemas.openxmlformats.org/spreadsheetml/2006/main">
  <c r="C12" i="5" l="1"/>
  <c r="C11" i="5"/>
  <c r="C10" i="5"/>
  <c r="C12" i="6"/>
  <c r="C11" i="6"/>
  <c r="C10" i="6"/>
  <c r="C12" i="7"/>
  <c r="C11" i="7"/>
  <c r="C10" i="7"/>
  <c r="B18" i="4" l="1"/>
  <c r="B19" i="4"/>
  <c r="B18" i="1"/>
  <c r="B19" i="1"/>
  <c r="B18" i="3"/>
  <c r="B19" i="3"/>
  <c r="B18" i="2"/>
  <c r="B19" i="2"/>
  <c r="E17" i="4" l="1"/>
  <c r="D17" i="4"/>
  <c r="C17" i="4"/>
  <c r="B17" i="4" s="1"/>
  <c r="E17" i="1"/>
  <c r="D17" i="1"/>
  <c r="C17" i="1"/>
  <c r="E17" i="3"/>
  <c r="D17" i="3"/>
  <c r="C17" i="3"/>
  <c r="E17" i="2"/>
  <c r="D17" i="2"/>
  <c r="C17" i="2"/>
  <c r="B17" i="2" s="1"/>
  <c r="B17" i="1" l="1"/>
  <c r="B17" i="3"/>
  <c r="C19" i="7"/>
  <c r="D19" i="7"/>
  <c r="B19" i="7"/>
  <c r="C19" i="6"/>
  <c r="D19" i="6"/>
  <c r="B19" i="6"/>
  <c r="C19" i="5"/>
  <c r="D19" i="5"/>
  <c r="B19" i="5"/>
  <c r="C17" i="5" l="1"/>
  <c r="D17" i="5"/>
  <c r="C18" i="5"/>
  <c r="D18" i="5"/>
  <c r="D16" i="5"/>
  <c r="C16" i="5"/>
  <c r="D20" i="6"/>
  <c r="C20" i="6" s="1"/>
  <c r="C17" i="6"/>
  <c r="D17" i="6"/>
  <c r="C18" i="6"/>
  <c r="D18" i="6"/>
  <c r="D16" i="6"/>
  <c r="C16" i="6"/>
  <c r="C17" i="7"/>
  <c r="D17" i="7"/>
  <c r="C18" i="7"/>
  <c r="D18" i="7"/>
  <c r="D16" i="7"/>
  <c r="C16" i="7"/>
  <c r="D20" i="7"/>
  <c r="C20" i="7" s="1"/>
  <c r="D20" i="5"/>
  <c r="C20" i="5" s="1"/>
  <c r="C13" i="5"/>
  <c r="C13" i="6"/>
  <c r="C13" i="7"/>
  <c r="B20" i="7" l="1"/>
  <c r="B18" i="7"/>
  <c r="B17" i="7"/>
  <c r="B16" i="7"/>
  <c r="B13" i="7"/>
  <c r="B12" i="7"/>
  <c r="B11" i="7"/>
  <c r="B10" i="7"/>
  <c r="B20" i="6"/>
  <c r="B18" i="6"/>
  <c r="B17" i="6"/>
  <c r="B16" i="6"/>
  <c r="B13" i="6"/>
  <c r="B12" i="6"/>
  <c r="B11" i="6"/>
  <c r="B10" i="6"/>
  <c r="B20" i="5"/>
  <c r="B18" i="5"/>
  <c r="B17" i="5"/>
  <c r="B16" i="5"/>
  <c r="B13" i="5"/>
  <c r="B12" i="5"/>
  <c r="B11" i="5"/>
  <c r="B10" i="5"/>
  <c r="B20" i="4"/>
  <c r="B16" i="4"/>
  <c r="B13" i="4"/>
  <c r="B12" i="4"/>
  <c r="B11" i="4"/>
  <c r="B10" i="4"/>
  <c r="B20" i="1"/>
  <c r="B16" i="1"/>
  <c r="B13" i="1"/>
  <c r="B12" i="1"/>
  <c r="B11" i="1"/>
  <c r="B10" i="1"/>
  <c r="B20" i="3"/>
  <c r="B16" i="3"/>
  <c r="B13" i="3"/>
  <c r="B12" i="3"/>
  <c r="B11" i="3"/>
  <c r="B10" i="3"/>
  <c r="B20" i="2"/>
  <c r="B16" i="2"/>
  <c r="B13" i="2"/>
  <c r="B12" i="2"/>
  <c r="B11" i="2"/>
  <c r="B10" i="2"/>
  <c r="C66" i="4" l="1"/>
  <c r="C63" i="4"/>
  <c r="C50" i="4"/>
  <c r="C45" i="4"/>
  <c r="C41" i="4"/>
  <c r="C66" i="1"/>
  <c r="C63" i="1"/>
  <c r="C50" i="1"/>
  <c r="C49" i="1"/>
  <c r="C45" i="1"/>
  <c r="C41" i="1"/>
  <c r="C66" i="3"/>
  <c r="C63" i="3"/>
  <c r="C50" i="3"/>
  <c r="C45" i="3"/>
  <c r="C41" i="3"/>
  <c r="C66" i="2"/>
  <c r="C63" i="2"/>
  <c r="C51" i="1" l="1"/>
  <c r="C50" i="2"/>
  <c r="C41" i="2"/>
  <c r="C49" i="4"/>
  <c r="C51" i="4" s="1"/>
  <c r="C65" i="1" l="1"/>
  <c r="C62" i="1"/>
  <c r="C44" i="1"/>
  <c r="C46" i="1" s="1"/>
  <c r="C40" i="1"/>
  <c r="C44" i="4"/>
  <c r="C46" i="4" s="1"/>
  <c r="C40" i="4"/>
  <c r="C65" i="4"/>
  <c r="C62" i="4"/>
  <c r="C41" i="5"/>
  <c r="C41" i="6"/>
  <c r="C41" i="7"/>
  <c r="C65" i="2" l="1"/>
  <c r="C62" i="2"/>
  <c r="C40" i="2"/>
  <c r="C49" i="3"/>
  <c r="C51" i="3" s="1"/>
  <c r="C64" i="4"/>
  <c r="C64" i="1"/>
  <c r="C49" i="2"/>
  <c r="C65" i="3"/>
  <c r="C62" i="3"/>
  <c r="C44" i="3"/>
  <c r="C46" i="3" s="1"/>
  <c r="C40" i="3"/>
  <c r="C64" i="3" l="1"/>
  <c r="C49" i="5"/>
  <c r="C49" i="7"/>
  <c r="C40" i="5"/>
  <c r="C44" i="5"/>
  <c r="C40" i="7"/>
  <c r="C44" i="7"/>
  <c r="C49" i="6"/>
  <c r="C40" i="6"/>
  <c r="C44" i="6"/>
  <c r="B24" i="5"/>
  <c r="D32" i="5"/>
  <c r="B24" i="6"/>
  <c r="D32" i="6"/>
  <c r="C32" i="6"/>
  <c r="B24" i="7"/>
  <c r="D32" i="7"/>
  <c r="C32" i="7"/>
  <c r="D33" i="4"/>
  <c r="C33" i="4"/>
  <c r="D32" i="4"/>
  <c r="C32" i="4"/>
  <c r="C34" i="4" s="1"/>
  <c r="B32" i="4"/>
  <c r="D50" i="4"/>
  <c r="D45" i="4"/>
  <c r="D33" i="3"/>
  <c r="C33" i="3"/>
  <c r="D32" i="3"/>
  <c r="C32" i="3"/>
  <c r="C34" i="3" s="1"/>
  <c r="B32" i="3"/>
  <c r="D50" i="3"/>
  <c r="D45" i="3"/>
  <c r="B32" i="5" l="1"/>
  <c r="B70" i="3"/>
  <c r="B63" i="3"/>
  <c r="B50" i="3"/>
  <c r="B66" i="3"/>
  <c r="B49" i="4"/>
  <c r="B41" i="4"/>
  <c r="B57" i="4"/>
  <c r="B66" i="4"/>
  <c r="B63" i="4"/>
  <c r="B50" i="4"/>
  <c r="B70" i="4"/>
  <c r="B54" i="4"/>
  <c r="C58" i="4"/>
  <c r="C66" i="7"/>
  <c r="C45" i="7"/>
  <c r="C63" i="7"/>
  <c r="C50" i="7"/>
  <c r="C63" i="6"/>
  <c r="C66" i="6"/>
  <c r="C45" i="6"/>
  <c r="C46" i="6" s="1"/>
  <c r="C50" i="6"/>
  <c r="C51" i="6" s="1"/>
  <c r="C63" i="5"/>
  <c r="C66" i="5"/>
  <c r="C45" i="5"/>
  <c r="C46" i="5" s="1"/>
  <c r="C50" i="5"/>
  <c r="B41" i="3"/>
  <c r="B57" i="3"/>
  <c r="B49" i="3"/>
  <c r="B54" i="3"/>
  <c r="C58" i="3"/>
  <c r="D33" i="7"/>
  <c r="D58" i="7" s="1"/>
  <c r="D50" i="7"/>
  <c r="C62" i="7"/>
  <c r="C65" i="7"/>
  <c r="D50" i="6"/>
  <c r="C65" i="6"/>
  <c r="C62" i="6"/>
  <c r="B57" i="5"/>
  <c r="B49" i="5"/>
  <c r="B41" i="5"/>
  <c r="D33" i="5"/>
  <c r="D50" i="5"/>
  <c r="C65" i="5"/>
  <c r="C62" i="5"/>
  <c r="C46" i="7"/>
  <c r="C51" i="7"/>
  <c r="C51" i="5"/>
  <c r="B54" i="7"/>
  <c r="C34" i="6"/>
  <c r="C33" i="7"/>
  <c r="C58" i="7" s="1"/>
  <c r="B32" i="6"/>
  <c r="B34" i="6" s="1"/>
  <c r="B32" i="7"/>
  <c r="B34" i="7" s="1"/>
  <c r="B34" i="5"/>
  <c r="C32" i="5"/>
  <c r="C34" i="5" s="1"/>
  <c r="C33" i="5"/>
  <c r="B54" i="6"/>
  <c r="D33" i="6"/>
  <c r="C33" i="6"/>
  <c r="C58" i="6" s="1"/>
  <c r="C34" i="7"/>
  <c r="B33" i="7"/>
  <c r="B34" i="4"/>
  <c r="B40" i="4"/>
  <c r="B45" i="4"/>
  <c r="B33" i="4"/>
  <c r="B58" i="4" s="1"/>
  <c r="C35" i="4"/>
  <c r="C59" i="4" s="1"/>
  <c r="B34" i="3"/>
  <c r="B40" i="3"/>
  <c r="B33" i="3"/>
  <c r="B58" i="3" s="1"/>
  <c r="C35" i="3"/>
  <c r="C59" i="3" s="1"/>
  <c r="C45" i="2"/>
  <c r="D33" i="2"/>
  <c r="C33" i="2"/>
  <c r="D32" i="2"/>
  <c r="C32" i="2"/>
  <c r="C34" i="2" s="1"/>
  <c r="B32" i="2"/>
  <c r="D50" i="2"/>
  <c r="C51" i="2"/>
  <c r="D33" i="1"/>
  <c r="C33" i="1"/>
  <c r="D32" i="1"/>
  <c r="C32" i="1"/>
  <c r="B32" i="1"/>
  <c r="D50" i="1"/>
  <c r="D45" i="1"/>
  <c r="B40" i="1"/>
  <c r="C58" i="5" l="1"/>
  <c r="B51" i="3"/>
  <c r="C35" i="7"/>
  <c r="C59" i="7" s="1"/>
  <c r="B58" i="7"/>
  <c r="B44" i="1"/>
  <c r="B41" i="1"/>
  <c r="B57" i="1"/>
  <c r="B49" i="1"/>
  <c r="B66" i="1"/>
  <c r="B63" i="1"/>
  <c r="B70" i="1"/>
  <c r="B50" i="1"/>
  <c r="B54" i="1"/>
  <c r="C35" i="1"/>
  <c r="C58" i="1"/>
  <c r="B49" i="2"/>
  <c r="B41" i="2"/>
  <c r="B62" i="3"/>
  <c r="B65" i="3"/>
  <c r="B57" i="6"/>
  <c r="B41" i="6"/>
  <c r="B49" i="6"/>
  <c r="B57" i="7"/>
  <c r="B49" i="7"/>
  <c r="B41" i="7"/>
  <c r="B33" i="6"/>
  <c r="B58" i="6" s="1"/>
  <c r="B63" i="6"/>
  <c r="B70" i="6"/>
  <c r="B50" i="6"/>
  <c r="B66" i="6"/>
  <c r="C64" i="5"/>
  <c r="C64" i="7"/>
  <c r="B44" i="3"/>
  <c r="B51" i="4"/>
  <c r="B45" i="3"/>
  <c r="B70" i="2"/>
  <c r="B66" i="2"/>
  <c r="B63" i="2"/>
  <c r="B65" i="4"/>
  <c r="B62" i="4"/>
  <c r="B70" i="5"/>
  <c r="B50" i="5"/>
  <c r="B51" i="5" s="1"/>
  <c r="B63" i="5"/>
  <c r="B66" i="5"/>
  <c r="B54" i="5"/>
  <c r="B63" i="7"/>
  <c r="B70" i="7"/>
  <c r="B50" i="7"/>
  <c r="B66" i="7"/>
  <c r="C64" i="6"/>
  <c r="B44" i="4"/>
  <c r="B46" i="4" s="1"/>
  <c r="D45" i="2"/>
  <c r="D45" i="5"/>
  <c r="D45" i="6"/>
  <c r="D45" i="7"/>
  <c r="C58" i="2"/>
  <c r="C35" i="5"/>
  <c r="C59" i="5" s="1"/>
  <c r="B33" i="5"/>
  <c r="B58" i="5" s="1"/>
  <c r="C35" i="6"/>
  <c r="C59" i="6" s="1"/>
  <c r="B35" i="7"/>
  <c r="B59" i="7" s="1"/>
  <c r="B35" i="4"/>
  <c r="B59" i="4" s="1"/>
  <c r="B23" i="4"/>
  <c r="B69" i="4" s="1"/>
  <c r="B35" i="3"/>
  <c r="B59" i="3" s="1"/>
  <c r="B23" i="3"/>
  <c r="B69" i="3" s="1"/>
  <c r="B54" i="2"/>
  <c r="B57" i="2"/>
  <c r="B34" i="2"/>
  <c r="B40" i="2"/>
  <c r="B33" i="2"/>
  <c r="B58" i="2" s="1"/>
  <c r="C35" i="2"/>
  <c r="C59" i="2" s="1"/>
  <c r="C44" i="2"/>
  <c r="C46" i="2" s="1"/>
  <c r="C64" i="2" s="1"/>
  <c r="B50" i="2"/>
  <c r="C34" i="1"/>
  <c r="B34" i="1"/>
  <c r="B33" i="1"/>
  <c r="B58" i="1" s="1"/>
  <c r="B64" i="4" l="1"/>
  <c r="B35" i="6"/>
  <c r="B59" i="6" s="1"/>
  <c r="B65" i="1"/>
  <c r="B62" i="1"/>
  <c r="B46" i="3"/>
  <c r="B64" i="3" s="1"/>
  <c r="B51" i="7"/>
  <c r="B51" i="1"/>
  <c r="B65" i="2"/>
  <c r="B62" i="2"/>
  <c r="B51" i="6"/>
  <c r="C59" i="1"/>
  <c r="B45" i="1"/>
  <c r="B46" i="1" s="1"/>
  <c r="B35" i="5"/>
  <c r="B59" i="5" s="1"/>
  <c r="B51" i="2"/>
  <c r="B35" i="2"/>
  <c r="B59" i="2" s="1"/>
  <c r="B44" i="2"/>
  <c r="B45" i="2"/>
  <c r="B23" i="2"/>
  <c r="B69" i="2" s="1"/>
  <c r="B23" i="1"/>
  <c r="B69" i="1" s="1"/>
  <c r="B35" i="1"/>
  <c r="B59" i="1" s="1"/>
  <c r="B40" i="7" l="1"/>
  <c r="B44" i="7"/>
  <c r="B62" i="6"/>
  <c r="B65" i="6"/>
  <c r="B45" i="6"/>
  <c r="B62" i="5"/>
  <c r="B65" i="5"/>
  <c r="B45" i="5"/>
  <c r="B64" i="1"/>
  <c r="B40" i="6"/>
  <c r="B44" i="6"/>
  <c r="B46" i="6" s="1"/>
  <c r="B40" i="5"/>
  <c r="B44" i="5"/>
  <c r="B65" i="7"/>
  <c r="B62" i="7"/>
  <c r="B45" i="7"/>
  <c r="B23" i="6"/>
  <c r="B69" i="6" s="1"/>
  <c r="B23" i="5"/>
  <c r="B69" i="5" s="1"/>
  <c r="B23" i="7"/>
  <c r="B69" i="7" s="1"/>
  <c r="B46" i="2"/>
  <c r="B64" i="2" s="1"/>
  <c r="B46" i="5" l="1"/>
  <c r="B64" i="5" s="1"/>
  <c r="B46" i="7"/>
  <c r="B64" i="7" s="1"/>
  <c r="B64" i="6"/>
</calcChain>
</file>

<file path=xl/sharedStrings.xml><?xml version="1.0" encoding="utf-8"?>
<sst xmlns="http://schemas.openxmlformats.org/spreadsheetml/2006/main" count="476" uniqueCount="151">
  <si>
    <t>Indicador</t>
  </si>
  <si>
    <t>Total</t>
  </si>
  <si>
    <t>Productos</t>
  </si>
  <si>
    <t>programa</t>
  </si>
  <si>
    <t>Subsidios</t>
  </si>
  <si>
    <t>Gastos</t>
  </si>
  <si>
    <t>Insumos</t>
  </si>
  <si>
    <t xml:space="preserve">Beneficiarios </t>
  </si>
  <si>
    <t>Efectivos 3T 2011</t>
  </si>
  <si>
    <t>Gasto FODESAF</t>
  </si>
  <si>
    <t>Efectivo 3T 2011</t>
  </si>
  <si>
    <t>Ingresos FODESAF</t>
  </si>
  <si>
    <t>Otros insumos</t>
  </si>
  <si>
    <t>IPC (3T 2011)</t>
  </si>
  <si>
    <t>Población objetivo</t>
  </si>
  <si>
    <t>Cálculos intermedios</t>
  </si>
  <si>
    <t>Gasto efectivo real 3T 2011</t>
  </si>
  <si>
    <t>Gasto efectivo real por beneficiario 3T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</si>
  <si>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</si>
  <si>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</si>
  <si>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</si>
  <si>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</si>
  <si>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</si>
  <si>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</si>
  <si>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</si>
  <si>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</si>
  <si>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</si>
  <si>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</si>
  <si>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</si>
  <si>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</si>
  <si>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</si>
  <si>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</si>
  <si>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</si>
  <si>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</si>
  <si>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</si>
  <si>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</si>
  <si>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</si>
  <si>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</si>
  <si>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</si>
  <si>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</si>
  <si>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</si>
  <si>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Efectivos 1T 2011</t>
  </si>
  <si>
    <t>Efectivo 1T 2011</t>
  </si>
  <si>
    <t>IPC (1T 2011)</t>
  </si>
  <si>
    <t>Gasto efectivo real 1T 2011</t>
  </si>
  <si>
    <t>Gasto efectivo real por beneficiario 1T 2011</t>
  </si>
  <si>
    <t>Efectivos 2T 2011</t>
  </si>
  <si>
    <t>Efectivo 2T 2011</t>
  </si>
  <si>
    <t>IPC (2T 2011)</t>
  </si>
  <si>
    <t>Gasto efectivo real 2T 2011</t>
  </si>
  <si>
    <t>Gasto efectivo real por beneficiario 2T 2011</t>
  </si>
  <si>
    <t>Efectivos 4T 2011</t>
  </si>
  <si>
    <t>Efectivo 4T 2011</t>
  </si>
  <si>
    <t>IPC (4T 2011)</t>
  </si>
  <si>
    <t>Gasto efectivo real 4T 2011</t>
  </si>
  <si>
    <t>Gasto efectivo real por beneficiario 4T 2011</t>
  </si>
  <si>
    <t>Efectivos  2011</t>
  </si>
  <si>
    <t>Efectivo  2011</t>
  </si>
  <si>
    <t>IPC ( 2011)</t>
  </si>
  <si>
    <t>Gasto efectivo real  2011</t>
  </si>
  <si>
    <t>Gasto efectivo real por beneficiario  2011</t>
  </si>
  <si>
    <t>Efectivos 3TA 2011</t>
  </si>
  <si>
    <t>Efectivo 3TA 2011</t>
  </si>
  <si>
    <t>IPC (3TA 2011)</t>
  </si>
  <si>
    <t>Gasto efectivo real 3TA 2011</t>
  </si>
  <si>
    <t>Gasto efectivo real por beneficiario 3TA 2011</t>
  </si>
  <si>
    <t>Efectivos 1S 2011</t>
  </si>
  <si>
    <t>Efectivo 1S 2011</t>
  </si>
  <si>
    <t>IPC (1S 2011)</t>
  </si>
  <si>
    <t>Gasto efectivo real 1S 2011</t>
  </si>
  <si>
    <t>Gasto efectivo real por beneficiario 1S 2011</t>
  </si>
  <si>
    <t>De composición</t>
  </si>
  <si>
    <t>Notas:</t>
  </si>
  <si>
    <t>Para los indicadores de cobertura se utiliza el promedio de beneficiarios del período como medida de población efectivamente atendida</t>
  </si>
  <si>
    <t>Para los indicadores de gasto por beneficiario se utiliza el total de dinero entregado entre el total de subsidios entregados, para obtener el gasto promedio mensual por beneficiario.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</si>
  <si>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</si>
  <si>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</si>
  <si>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</si>
  <si>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</si>
  <si>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>Publicidad</t>
  </si>
  <si>
    <t>Los beneficiarios suelen ser los mismos de un mes a otro, pero existen entradas y salidas de pacientes, por tal razón se utiliza el promedio de beneficiarios del período</t>
  </si>
  <si>
    <t>Total Programa</t>
  </si>
  <si>
    <t>Indicadores propuestos aplicado a Pacientes en Fase Terminal. Primer Trimestre 2012</t>
  </si>
  <si>
    <t>Programados 1T 2012</t>
  </si>
  <si>
    <t>Efectivos 1T 2012</t>
  </si>
  <si>
    <t>Programados año 2012</t>
  </si>
  <si>
    <t>Programado 1T 2012</t>
  </si>
  <si>
    <t>Efectivo 1T 2012</t>
  </si>
  <si>
    <t>En transferencias 1T 2012</t>
  </si>
  <si>
    <t>IPC (1T 2012)</t>
  </si>
  <si>
    <t>Gasto efectivo real 1T 2012</t>
  </si>
  <si>
    <t>Gasto efectivo real por beneficiario 1T 2012</t>
  </si>
  <si>
    <t>Plan Anual Operativo Pacientes en Fase Terminal 2012</t>
  </si>
  <si>
    <t>Programados 2T 2012</t>
  </si>
  <si>
    <t>Efectivos 2T 2012</t>
  </si>
  <si>
    <t>Programado 2T 2012</t>
  </si>
  <si>
    <t>Efectivo 2T 2012</t>
  </si>
  <si>
    <t>En transferencias 2T 2012</t>
  </si>
  <si>
    <t>IPC (2T 2012)</t>
  </si>
  <si>
    <t>Gasto efectivo real 2T 2012</t>
  </si>
  <si>
    <t>Gasto efectivo real por beneficiario 2T 2012</t>
  </si>
  <si>
    <t>Indicadores propuestos aplicado a Pacientes en Fase Terminal. Tercer trimestre 2012</t>
  </si>
  <si>
    <t>Programados 3T 2012</t>
  </si>
  <si>
    <t>Efectivos 3T 2012</t>
  </si>
  <si>
    <t>Programado 3T 2012</t>
  </si>
  <si>
    <t>Efectivo 3T 2012</t>
  </si>
  <si>
    <t>En transferencias 3T 2012</t>
  </si>
  <si>
    <t>IPC (3T 2012)</t>
  </si>
  <si>
    <t>Gasto efectivo real 3T 2012</t>
  </si>
  <si>
    <t>Gasto efectivo real por beneficiario 3T 2012</t>
  </si>
  <si>
    <t>Indicadores propuestos aplicado a Pacientes en Fase Terminal.Cuarto Trimestre 2012</t>
  </si>
  <si>
    <t>Programados 4T 2012</t>
  </si>
  <si>
    <t>Efectivos 4T 2012</t>
  </si>
  <si>
    <t>Programado 4T 2012</t>
  </si>
  <si>
    <t>Efectivo 4T 2012</t>
  </si>
  <si>
    <t>En transferencias 4T 2012</t>
  </si>
  <si>
    <t>IPC (4T 2012)</t>
  </si>
  <si>
    <t>Gasto efectivo real 4T 2012</t>
  </si>
  <si>
    <t>Gasto efectivo real por beneficiario 4T 2012</t>
  </si>
  <si>
    <t>Indicadores propuestos aplicado a Pacientes en Fase Terminal. Primer Semestre 2012</t>
  </si>
  <si>
    <t>Programados 1S 2012</t>
  </si>
  <si>
    <t>Efectivos 1S 2012</t>
  </si>
  <si>
    <t>Programado 1S 2012</t>
  </si>
  <si>
    <t>Efectivo 1S 2012</t>
  </si>
  <si>
    <t>En transferencias 1S 2012</t>
  </si>
  <si>
    <t>IPC (1S 2012)</t>
  </si>
  <si>
    <t>Gasto efectivo real 1S 2012</t>
  </si>
  <si>
    <t>Gasto efectivo real por beneficiario 1S 2012</t>
  </si>
  <si>
    <t>Indicadores propuestos aplicado a Pacientes en Fase Terminal. Tercer Trimestre Acumulado 2012</t>
  </si>
  <si>
    <t>Programados 3TA 2012</t>
  </si>
  <si>
    <t>Efectivos 3TA 2012</t>
  </si>
  <si>
    <t>Programado 3TA 2012</t>
  </si>
  <si>
    <t>Efectivo 3TA 2012</t>
  </si>
  <si>
    <t>En transferencias 3TA 2012</t>
  </si>
  <si>
    <t>IPC (3TA 2012)</t>
  </si>
  <si>
    <t>Gasto efectivo real 3TA 2012</t>
  </si>
  <si>
    <t>Gasto efectivo real por beneficiario 3TA 2012</t>
  </si>
  <si>
    <t>Indicadores propuestos aplicado a Pacientes en Fase Terminal.Año 2012</t>
  </si>
  <si>
    <t>Programados  2012</t>
  </si>
  <si>
    <t>Efectivos  2012</t>
  </si>
  <si>
    <t>Programado  2012</t>
  </si>
  <si>
    <t>Efectivo  2012</t>
  </si>
  <si>
    <t>En transferencias  2012</t>
  </si>
  <si>
    <t>IPC ( 2012)</t>
  </si>
  <si>
    <t>Gasto efectivo real  2012</t>
  </si>
  <si>
    <t>Gasto efectivo real por beneficiario  2012</t>
  </si>
  <si>
    <t>Indicadores propuestos aplicado a Pacientes en Fase Terminal. Segundo Trimestre 2012</t>
  </si>
  <si>
    <t>Gasto</t>
  </si>
  <si>
    <t>Administrativo</t>
  </si>
  <si>
    <t>n.a</t>
  </si>
  <si>
    <t>Informes Trimestrales PFT 2011 y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</si>
</sst>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#,##0.0____"/>
    <numFmt numFmtId="166" formatCode="#,##0.00____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Fill="1" applyAlignment="1">
      <alignment horizontal="left"/>
    </xf>
    <xf numFmtId="3" fontId="0" fillId="0" borderId="0" xfId="0" applyNumberFormat="1" applyFill="1"/>
    <xf numFmtId="0" fontId="0" fillId="0" borderId="0" xfId="0" applyFill="1" applyAlignment="1">
      <alignment horizontal="left" indent="1"/>
    </xf>
    <xf numFmtId="0" fontId="0" fillId="0" borderId="0" xfId="0" applyFill="1"/>
    <xf numFmtId="0" fontId="1" fillId="0" borderId="0" xfId="0" applyFont="1" applyFill="1"/>
    <xf numFmtId="165" fontId="0" fillId="0" borderId="0" xfId="0" applyNumberFormat="1" applyFill="1"/>
    <xf numFmtId="165" fontId="0" fillId="0" borderId="0" xfId="0" applyNumberFormat="1"/>
    <xf numFmtId="166" fontId="0" fillId="0" borderId="0" xfId="0" applyNumberFormat="1" applyFill="1"/>
    <xf numFmtId="0" fontId="0" fillId="0" borderId="3" xfId="0" applyBorder="1"/>
    <xf numFmtId="2" fontId="0" fillId="0" borderId="0" xfId="0" applyNumberFormat="1" applyFill="1"/>
    <xf numFmtId="0" fontId="0" fillId="0" borderId="2" xfId="0" applyBorder="1" applyAlignment="1">
      <alignment horizontal="center"/>
    </xf>
    <xf numFmtId="167" fontId="4" fillId="0" borderId="0" xfId="1" applyNumberFormat="1" applyFont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43" fontId="0" fillId="0" borderId="0" xfId="1" applyFont="1"/>
    <xf numFmtId="167" fontId="0" fillId="0" borderId="0" xfId="1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Indicadores de Cobertura Potencial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'Anual 2012'!$A$40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'Anual 2012'!$B$4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'Anual 2012'!$B$40</c:f>
              <c:numCache>
                <c:formatCode>#,##0.00____</c:formatCode>
                <c:ptCount val="1"/>
                <c:pt idx="0">
                  <c:v>93.45794392523365</c:v>
                </c:pt>
              </c:numCache>
            </c:numRef>
          </c:val>
        </c:ser>
        <c:ser>
          <c:idx val="1"/>
          <c:order val="1"/>
          <c:tx>
            <c:strRef>
              <c:f>'Anual 2012'!$A$41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'Anual 2012'!$B$4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'Anual 2012'!$B$41</c:f>
              <c:numCache>
                <c:formatCode>#,##0.00____</c:formatCode>
                <c:ptCount val="1"/>
                <c:pt idx="0">
                  <c:v>117.13395638629284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524904"/>
        <c:axId val="292536840"/>
      </c:barChart>
      <c:catAx>
        <c:axId val="292524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2536840"/>
        <c:crosses val="autoZero"/>
        <c:auto val="1"/>
        <c:lblAlgn val="ctr"/>
        <c:lblOffset val="100"/>
        <c:noMultiLvlLbl val="0"/>
      </c:catAx>
      <c:valAx>
        <c:axId val="292536840"/>
        <c:scaling>
          <c:orientation val="minMax"/>
        </c:scaling>
        <c:delete val="0"/>
        <c:axPos val="l"/>
        <c:majorGridlines/>
        <c:numFmt formatCode="#,##0.00____" sourceLinked="1"/>
        <c:majorTickMark val="none"/>
        <c:minorTickMark val="none"/>
        <c:tickLblPos val="nextTo"/>
        <c:crossAx val="292524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Indicadores de Resultado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'Anual 2012'!$A$44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('Anual 2012'!$B$4,'Anual 2012'!$C$5,'Anual 2012'!$D$5)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Publicidad</c:v>
                </c:pt>
              </c:strCache>
            </c:strRef>
          </c:cat>
          <c:val>
            <c:numRef>
              <c:f>'Anual 2012'!$B$44:$C$44</c:f>
              <c:numCache>
                <c:formatCode>#,##0.0____</c:formatCode>
                <c:ptCount val="2"/>
                <c:pt idx="0">
                  <c:v>125.33333333333334</c:v>
                </c:pt>
                <c:pt idx="1">
                  <c:v>125.33333333333334</c:v>
                </c:pt>
              </c:numCache>
            </c:numRef>
          </c:val>
        </c:ser>
        <c:ser>
          <c:idx val="1"/>
          <c:order val="1"/>
          <c:tx>
            <c:strRef>
              <c:f>'Anual 2012'!$A$45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('Anual 2012'!$B$4,'Anual 2012'!$C$5,'Anual 2012'!$D$5)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Publicidad</c:v>
                </c:pt>
              </c:strCache>
            </c:strRef>
          </c:cat>
          <c:val>
            <c:numRef>
              <c:f>'Anual 2012'!$B$45:$D$45</c:f>
              <c:numCache>
                <c:formatCode>#,##0.0____</c:formatCode>
                <c:ptCount val="3"/>
                <c:pt idx="0">
                  <c:v>74.664105887544125</c:v>
                </c:pt>
                <c:pt idx="1">
                  <c:v>87.351490565845026</c:v>
                </c:pt>
                <c:pt idx="2">
                  <c:v>0.13333333333333333</c:v>
                </c:pt>
              </c:numCache>
            </c:numRef>
          </c:val>
        </c:ser>
        <c:ser>
          <c:idx val="2"/>
          <c:order val="2"/>
          <c:tx>
            <c:strRef>
              <c:f>'Anual 2012'!$A$46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('Anual 2012'!$B$4,'Anual 2012'!$C$5,'Anual 2012'!$D$5)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Publicidad</c:v>
                </c:pt>
              </c:strCache>
            </c:strRef>
          </c:cat>
          <c:val>
            <c:numRef>
              <c:f>'Anual 2012'!$B$46:$C$46</c:f>
              <c:numCache>
                <c:formatCode>#,##0.0____</c:formatCode>
                <c:ptCount val="2"/>
                <c:pt idx="0">
                  <c:v>99.998719610438741</c:v>
                </c:pt>
                <c:pt idx="1">
                  <c:v>106.34241194958918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10536"/>
        <c:axId val="292910920"/>
      </c:barChart>
      <c:catAx>
        <c:axId val="292910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2910920"/>
        <c:crosses val="autoZero"/>
        <c:auto val="1"/>
        <c:lblAlgn val="ctr"/>
        <c:lblOffset val="100"/>
        <c:noMultiLvlLbl val="0"/>
      </c:catAx>
      <c:valAx>
        <c:axId val="292910920"/>
        <c:scaling>
          <c:orientation val="minMax"/>
        </c:scaling>
        <c:delete val="0"/>
        <c:axPos val="l"/>
        <c:majorGridlines/>
        <c:numFmt formatCode="#,##0.0____" sourceLinked="1"/>
        <c:majorTickMark val="none"/>
        <c:minorTickMark val="none"/>
        <c:tickLblPos val="nextTo"/>
        <c:crossAx val="292910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Indicadores</a:t>
            </a:r>
            <a:r>
              <a:rPr lang="es-CR" baseline="0"/>
              <a:t> de Avance</a:t>
            </a:r>
            <a:endParaRPr lang="es-C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'Anual 2012'!$A$49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('Anual 2012'!$B$4,'Anual 2012'!$C$5,'Anual 2012'!$D$5)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Publicidad</c:v>
                </c:pt>
              </c:strCache>
            </c:strRef>
          </c:cat>
          <c:val>
            <c:numRef>
              <c:f>'Anual 2012'!$B$49:$C$49</c:f>
              <c:numCache>
                <c:formatCode>#,##0.0____</c:formatCode>
                <c:ptCount val="2"/>
                <c:pt idx="0">
                  <c:v>41.777777777777779</c:v>
                </c:pt>
                <c:pt idx="1">
                  <c:v>41.777777777777779</c:v>
                </c:pt>
              </c:numCache>
            </c:numRef>
          </c:val>
        </c:ser>
        <c:ser>
          <c:idx val="1"/>
          <c:order val="1"/>
          <c:tx>
            <c:strRef>
              <c:f>'Anual 2012'!$A$50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('Anual 2012'!$B$4,'Anual 2012'!$C$5,'Anual 2012'!$D$5)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Publicidad</c:v>
                </c:pt>
              </c:strCache>
            </c:strRef>
          </c:cat>
          <c:val>
            <c:numRef>
              <c:f>'Anual 2012'!$B$50:$D$50</c:f>
              <c:numCache>
                <c:formatCode>#,##0.0____</c:formatCode>
                <c:ptCount val="3"/>
                <c:pt idx="0">
                  <c:v>71.211064149751323</c:v>
                </c:pt>
                <c:pt idx="1">
                  <c:v>87.351371805411702</c:v>
                </c:pt>
                <c:pt idx="2">
                  <c:v>0.13333333333333333</c:v>
                </c:pt>
              </c:numCache>
            </c:numRef>
          </c:val>
        </c:ser>
        <c:ser>
          <c:idx val="2"/>
          <c:order val="2"/>
          <c:tx>
            <c:strRef>
              <c:f>'Anual 2012'!$A$51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('Anual 2012'!$B$4,'Anual 2012'!$C$5,'Anual 2012'!$D$5)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Publicidad</c:v>
                </c:pt>
              </c:strCache>
            </c:strRef>
          </c:cat>
          <c:val>
            <c:numRef>
              <c:f>'Anual 2012'!$B$51:$C$51</c:f>
              <c:numCache>
                <c:formatCode>#,##0.0____</c:formatCode>
                <c:ptCount val="2"/>
                <c:pt idx="0">
                  <c:v>56.494420963764554</c:v>
                </c:pt>
                <c:pt idx="1">
                  <c:v>64.564574791594737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24432"/>
        <c:axId val="292924816"/>
      </c:barChart>
      <c:catAx>
        <c:axId val="292924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2924816"/>
        <c:crosses val="autoZero"/>
        <c:auto val="1"/>
        <c:lblAlgn val="ctr"/>
        <c:lblOffset val="100"/>
        <c:noMultiLvlLbl val="0"/>
      </c:catAx>
      <c:valAx>
        <c:axId val="292924816"/>
        <c:scaling>
          <c:orientation val="minMax"/>
        </c:scaling>
        <c:delete val="0"/>
        <c:axPos val="l"/>
        <c:majorGridlines/>
        <c:numFmt formatCode="#,##0.0____" sourceLinked="1"/>
        <c:majorTickMark val="none"/>
        <c:minorTickMark val="none"/>
        <c:tickLblPos val="nextTo"/>
        <c:crossAx val="292924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Indicadores de Composición y de Giro de Recursos</a:t>
            </a:r>
          </a:p>
        </c:rich>
      </c:tx>
      <c:layout>
        <c:manualLayout>
          <c:xMode val="edge"/>
          <c:yMode val="edge"/>
          <c:x val="0.10451377952755905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'Anual 2012'!$A$54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invertIfNegative val="0"/>
          <c:cat>
            <c:strRef>
              <c:f>'Anual 2012'!$B$4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'Anual 2012'!$B$54</c:f>
              <c:numCache>
                <c:formatCode>#,##0.00____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'Anual 2012'!$A$69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'Anual 2012'!$B$4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'Anual 2012'!$B$69</c:f>
              <c:numCache>
                <c:formatCode>#,##0.0____</c:formatCode>
                <c:ptCount val="1"/>
                <c:pt idx="0">
                  <c:v>81.264388551728146</c:v>
                </c:pt>
              </c:numCache>
            </c:numRef>
          </c:val>
        </c:ser>
        <c:ser>
          <c:idx val="2"/>
          <c:order val="2"/>
          <c:tx>
            <c:strRef>
              <c:f>'Anual 2012'!$A$70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'Anual 2012'!$B$4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'Anual 2012'!$B$70</c:f>
              <c:numCache>
                <c:formatCode>#,##0.0____</c:formatCode>
                <c:ptCount val="1"/>
                <c:pt idx="0">
                  <c:v>91.878013504054508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82952"/>
        <c:axId val="293297696"/>
      </c:barChart>
      <c:catAx>
        <c:axId val="29328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3297696"/>
        <c:crosses val="autoZero"/>
        <c:auto val="1"/>
        <c:lblAlgn val="ctr"/>
        <c:lblOffset val="100"/>
        <c:noMultiLvlLbl val="0"/>
      </c:catAx>
      <c:valAx>
        <c:axId val="293297696"/>
        <c:scaling>
          <c:orientation val="minMax"/>
        </c:scaling>
        <c:delete val="0"/>
        <c:axPos val="l"/>
        <c:majorGridlines/>
        <c:numFmt formatCode="#,##0.00____" sourceLinked="1"/>
        <c:majorTickMark val="none"/>
        <c:minorTickMark val="none"/>
        <c:tickLblPos val="nextTo"/>
        <c:crossAx val="29328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Indicadores de Expansión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'Anual 2012'!$A$57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('Anual 2012'!$B$4,'Anual 2012'!$C$5,'Anual 2012'!$D$5)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Publicidad</c:v>
                </c:pt>
              </c:strCache>
            </c:strRef>
          </c:cat>
          <c:val>
            <c:numRef>
              <c:f>'Anual 2012'!$B$57</c:f>
              <c:numCache>
                <c:formatCode>#,##0.0____</c:formatCode>
                <c:ptCount val="1"/>
                <c:pt idx="0">
                  <c:v>4.0110650069156373</c:v>
                </c:pt>
              </c:numCache>
            </c:numRef>
          </c:val>
        </c:ser>
        <c:ser>
          <c:idx val="1"/>
          <c:order val="1"/>
          <c:tx>
            <c:strRef>
              <c:f>'Anual 2012'!$A$58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('Anual 2012'!$B$4,'Anual 2012'!$C$5,'Anual 2012'!$D$5)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Publicidad</c:v>
                </c:pt>
              </c:strCache>
            </c:strRef>
          </c:cat>
          <c:val>
            <c:numRef>
              <c:f>'Anual 2012'!$B$58:$D$58</c:f>
              <c:numCache>
                <c:formatCode>#,##0.0____</c:formatCode>
                <c:ptCount val="3"/>
                <c:pt idx="0">
                  <c:v>-29.090670492470149</c:v>
                </c:pt>
                <c:pt idx="1">
                  <c:v>-17.218346558577991</c:v>
                </c:pt>
                <c:pt idx="2">
                  <c:v>-99.871760886019629</c:v>
                </c:pt>
              </c:numCache>
            </c:numRef>
          </c:val>
        </c:ser>
        <c:ser>
          <c:idx val="2"/>
          <c:order val="2"/>
          <c:tx>
            <c:strRef>
              <c:f>'Anual 2012'!$A$59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('Anual 2012'!$B$4,'Anual 2012'!$C$5,'Anual 2012'!$D$5)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Publicidad</c:v>
                </c:pt>
              </c:strCache>
            </c:strRef>
          </c:cat>
          <c:val>
            <c:numRef>
              <c:f>'Anual 2012'!$B$59:$C$59</c:f>
              <c:numCache>
                <c:formatCode>#,##0.0____</c:formatCode>
                <c:ptCount val="2"/>
                <c:pt idx="0">
                  <c:v>-31.825205805925417</c:v>
                </c:pt>
                <c:pt idx="1">
                  <c:v>-20.410724151398796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735640"/>
        <c:axId val="292736048"/>
      </c:barChart>
      <c:catAx>
        <c:axId val="292735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2736048"/>
        <c:crosses val="autoZero"/>
        <c:auto val="1"/>
        <c:lblAlgn val="ctr"/>
        <c:lblOffset val="100"/>
        <c:noMultiLvlLbl val="0"/>
      </c:catAx>
      <c:valAx>
        <c:axId val="292736048"/>
        <c:scaling>
          <c:orientation val="minMax"/>
        </c:scaling>
        <c:delete val="0"/>
        <c:axPos val="l"/>
        <c:majorGridlines/>
        <c:numFmt formatCode="#,##0.0____" sourceLinked="1"/>
        <c:majorTickMark val="none"/>
        <c:minorTickMark val="none"/>
        <c:tickLblPos val="nextTo"/>
        <c:crossAx val="292735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'Anual 2012'!$A$62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('Anual 2012'!$B$4,'Anual 2012'!$C$5)</c:f>
              <c:strCache>
                <c:ptCount val="2"/>
                <c:pt idx="0">
                  <c:v>Total Programa</c:v>
                </c:pt>
                <c:pt idx="1">
                  <c:v>Subsidios</c:v>
                </c:pt>
              </c:strCache>
            </c:strRef>
          </c:cat>
          <c:val>
            <c:numRef>
              <c:f>'Anual 2012'!$B$62:$C$62</c:f>
              <c:numCache>
                <c:formatCode>#,##0</c:formatCode>
                <c:ptCount val="2"/>
                <c:pt idx="0">
                  <c:v>143216.66666666666</c:v>
                </c:pt>
                <c:pt idx="1">
                  <c:v>122383.33333333333</c:v>
                </c:pt>
              </c:numCache>
            </c:numRef>
          </c:val>
        </c:ser>
        <c:ser>
          <c:idx val="1"/>
          <c:order val="1"/>
          <c:tx>
            <c:strRef>
              <c:f>'Anual 2012'!$A$63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('Anual 2012'!$B$4,'Anual 2012'!$C$5)</c:f>
              <c:strCache>
                <c:ptCount val="2"/>
                <c:pt idx="0">
                  <c:v>Total Programa</c:v>
                </c:pt>
                <c:pt idx="1">
                  <c:v>Subsidios</c:v>
                </c:pt>
              </c:strCache>
            </c:strRef>
          </c:cat>
          <c:val>
            <c:numRef>
              <c:f>'Anual 2012'!$B$63:$C$63</c:f>
              <c:numCache>
                <c:formatCode>#,##0</c:formatCode>
                <c:ptCount val="2"/>
                <c:pt idx="0">
                  <c:v>85317.641208998219</c:v>
                </c:pt>
                <c:pt idx="1">
                  <c:v>85295.478088430842</c:v>
                </c:pt>
              </c:numCache>
            </c:numRef>
          </c:val>
        </c:ser>
        <c:ser>
          <c:idx val="2"/>
          <c:order val="2"/>
          <c:tx>
            <c:strRef>
              <c:f>'Anual 2012'!$A$65</c:f>
              <c:strCache>
                <c:ptCount val="1"/>
                <c:pt idx="0">
                  <c:v>Gasto programado trimestral por beneficiario (GPB)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('Anual 2012'!$B$4,'Anual 2012'!$C$5)</c:f>
              <c:strCache>
                <c:ptCount val="2"/>
                <c:pt idx="0">
                  <c:v>Total Programa</c:v>
                </c:pt>
                <c:pt idx="1">
                  <c:v>Subsidios</c:v>
                </c:pt>
              </c:strCache>
            </c:strRef>
          </c:cat>
          <c:val>
            <c:numRef>
              <c:f>'Anual 2012'!$B$65:$C$65</c:f>
              <c:numCache>
                <c:formatCode>#,##0</c:formatCode>
                <c:ptCount val="2"/>
                <c:pt idx="0">
                  <c:v>1718600</c:v>
                </c:pt>
                <c:pt idx="1">
                  <c:v>1468600</c:v>
                </c:pt>
              </c:numCache>
            </c:numRef>
          </c:val>
        </c:ser>
        <c:ser>
          <c:idx val="3"/>
          <c:order val="3"/>
          <c:tx>
            <c:strRef>
              <c:f>'Anual 2012'!$A$66</c:f>
              <c:strCache>
                <c:ptCount val="1"/>
                <c:pt idx="0">
                  <c:v>Gasto efectivo trimestral por beneficiario (GEB)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('Anual 2012'!$B$4,'Anual 2012'!$C$5)</c:f>
              <c:strCache>
                <c:ptCount val="2"/>
                <c:pt idx="0">
                  <c:v>Total Programa</c:v>
                </c:pt>
                <c:pt idx="1">
                  <c:v>Subsidios</c:v>
                </c:pt>
              </c:strCache>
            </c:strRef>
          </c:cat>
          <c:val>
            <c:numRef>
              <c:f>'Anual 2012'!$B$66:$C$66</c:f>
              <c:numCache>
                <c:formatCode>#,##0</c:formatCode>
                <c:ptCount val="2"/>
                <c:pt idx="0">
                  <c:v>1023811.6945079787</c:v>
                </c:pt>
                <c:pt idx="1">
                  <c:v>1023545.7370611702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2736832"/>
        <c:axId val="292737224"/>
      </c:barChart>
      <c:catAx>
        <c:axId val="292736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2737224"/>
        <c:crosses val="autoZero"/>
        <c:auto val="1"/>
        <c:lblAlgn val="ctr"/>
        <c:lblOffset val="100"/>
        <c:noMultiLvlLbl val="0"/>
      </c:catAx>
      <c:valAx>
        <c:axId val="29273722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927368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'Anual 2012'!$A$64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('Anual 2012'!$B$4,'Anual 2012'!$C$5)</c:f>
              <c:strCache>
                <c:ptCount val="2"/>
                <c:pt idx="0">
                  <c:v>Total Programa</c:v>
                </c:pt>
                <c:pt idx="1">
                  <c:v>Subsidios</c:v>
                </c:pt>
              </c:strCache>
            </c:strRef>
          </c:cat>
          <c:val>
            <c:numRef>
              <c:f>'Anual 2012'!$B$64:$C$64</c:f>
              <c:numCache>
                <c:formatCode>#,##0</c:formatCode>
                <c:ptCount val="2"/>
                <c:pt idx="0">
                  <c:v>167.86075060911577</c:v>
                </c:pt>
                <c:pt idx="1">
                  <c:v>152.58181489532521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2738008"/>
        <c:axId val="292738400"/>
      </c:barChart>
      <c:catAx>
        <c:axId val="292738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2738400"/>
        <c:crosses val="autoZero"/>
        <c:auto val="1"/>
        <c:lblAlgn val="ctr"/>
        <c:lblOffset val="100"/>
        <c:noMultiLvlLbl val="0"/>
      </c:catAx>
      <c:valAx>
        <c:axId val="29273840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927380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1057274</xdr:colOff>
      <xdr:row>2</xdr:row>
      <xdr:rowOff>14287</xdr:rowOff>
    </xdr:from>
    <xdr:to>
      <xdr:col>10</xdr:col>
      <xdr:colOff>76199</xdr:colOff>
      <xdr:row>14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619125</xdr:colOff>
      <xdr:row>14</xdr:row>
      <xdr:rowOff>157162</xdr:rowOff>
    </xdr:from>
    <xdr:to>
      <xdr:col>10</xdr:col>
      <xdr:colOff>257175</xdr:colOff>
      <xdr:row>29</xdr:row>
      <xdr:rowOff>42862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609600</xdr:colOff>
      <xdr:row>30</xdr:row>
      <xdr:rowOff>4762</xdr:rowOff>
    </xdr:from>
    <xdr:to>
      <xdr:col>10</xdr:col>
      <xdr:colOff>247650</xdr:colOff>
      <xdr:row>44</xdr:row>
      <xdr:rowOff>80962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571500</xdr:colOff>
      <xdr:row>45</xdr:row>
      <xdr:rowOff>90487</xdr:rowOff>
    </xdr:from>
    <xdr:to>
      <xdr:col>10</xdr:col>
      <xdr:colOff>209550</xdr:colOff>
      <xdr:row>59</xdr:row>
      <xdr:rowOff>166687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552450</xdr:colOff>
      <xdr:row>60</xdr:row>
      <xdr:rowOff>128587</xdr:rowOff>
    </xdr:from>
    <xdr:to>
      <xdr:col>10</xdr:col>
      <xdr:colOff>190500</xdr:colOff>
      <xdr:row>74</xdr:row>
      <xdr:rowOff>185737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428625</xdr:colOff>
      <xdr:row>82</xdr:row>
      <xdr:rowOff>4761</xdr:rowOff>
    </xdr:from>
    <xdr:to>
      <xdr:col>9</xdr:col>
      <xdr:colOff>457200</xdr:colOff>
      <xdr:row>98</xdr:row>
      <xdr:rowOff>47624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533400</xdr:colOff>
      <xdr:row>82</xdr:row>
      <xdr:rowOff>23812</xdr:rowOff>
    </xdr:from>
    <xdr:to>
      <xdr:col>1</xdr:col>
      <xdr:colOff>857250</xdr:colOff>
      <xdr:row>92</xdr:row>
      <xdr:rowOff>152400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3"/>
  <sheetViews>
    <sheetView tabSelected="1" zoomScale="80" zoomScaleNormal="80" workbookViewId="0">
      <selection activeCell="E16" sqref="E16"/>
    </sheetView>
  </sheetViews>
  <sheetFormatPr baseColWidth="10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4" customWidth="1"/>
    <col min="8" max="8" width="15.140625" bestFit="1" customWidth="1"/>
  </cols>
  <sheetData>
    <row r="2" spans="1:11" ht="15.75" x14ac:dyDescent="0.25">
      <c r="A2" s="26" t="s">
        <v>82</v>
      </c>
      <c r="B2" s="26"/>
      <c r="C2" s="26"/>
      <c r="D2" s="26"/>
    </row>
    <row r="4" spans="1:11" x14ac:dyDescent="0.25">
      <c r="A4" s="27" t="s">
        <v>0</v>
      </c>
      <c r="B4" s="1" t="s">
        <v>1</v>
      </c>
      <c r="C4" s="18" t="s">
        <v>2</v>
      </c>
      <c r="D4" s="1" t="s">
        <v>5</v>
      </c>
      <c r="E4" s="1" t="s">
        <v>147</v>
      </c>
    </row>
    <row r="5" spans="1:11" ht="15.75" thickBot="1" x14ac:dyDescent="0.3">
      <c r="A5" s="28"/>
      <c r="B5" s="2" t="s">
        <v>3</v>
      </c>
      <c r="C5" s="2" t="s">
        <v>4</v>
      </c>
      <c r="D5" s="2" t="s">
        <v>79</v>
      </c>
      <c r="E5" s="2" t="s">
        <v>148</v>
      </c>
      <c r="G5" s="31"/>
      <c r="H5" s="11"/>
      <c r="I5" s="11"/>
      <c r="J5" s="11"/>
      <c r="K5" s="11"/>
    </row>
    <row r="6" spans="1:11" ht="15.75" thickTop="1" x14ac:dyDescent="0.25"/>
    <row r="7" spans="1:11" x14ac:dyDescent="0.25">
      <c r="A7" s="3" t="s">
        <v>6</v>
      </c>
    </row>
    <row r="9" spans="1:11" x14ac:dyDescent="0.25">
      <c r="A9" t="s">
        <v>7</v>
      </c>
      <c r="H9" s="23"/>
    </row>
    <row r="10" spans="1:11" x14ac:dyDescent="0.25">
      <c r="A10" s="4" t="s">
        <v>41</v>
      </c>
      <c r="B10" s="7">
        <f>C10</f>
        <v>146</v>
      </c>
      <c r="C10" s="7">
        <v>146</v>
      </c>
      <c r="D10" s="5"/>
    </row>
    <row r="11" spans="1:11" x14ac:dyDescent="0.25">
      <c r="A11" s="4" t="s">
        <v>83</v>
      </c>
      <c r="B11" s="7">
        <f>C11</f>
        <v>150</v>
      </c>
      <c r="C11" s="7">
        <v>150</v>
      </c>
      <c r="D11" s="5"/>
    </row>
    <row r="12" spans="1:11" x14ac:dyDescent="0.25">
      <c r="A12" s="4" t="s">
        <v>84</v>
      </c>
      <c r="B12" s="7">
        <f>C12</f>
        <v>188</v>
      </c>
      <c r="C12" s="7">
        <v>188</v>
      </c>
      <c r="D12" s="5"/>
    </row>
    <row r="13" spans="1:11" x14ac:dyDescent="0.25">
      <c r="A13" s="4" t="s">
        <v>85</v>
      </c>
      <c r="B13" s="7">
        <f>C13</f>
        <v>1800</v>
      </c>
      <c r="C13" s="7">
        <v>1800</v>
      </c>
      <c r="D13" s="5"/>
    </row>
    <row r="14" spans="1:11" x14ac:dyDescent="0.25">
      <c r="B14" s="5"/>
      <c r="C14" s="5"/>
      <c r="D14" s="5"/>
    </row>
    <row r="15" spans="1:11" x14ac:dyDescent="0.25">
      <c r="A15" s="6" t="s">
        <v>9</v>
      </c>
      <c r="B15" s="5"/>
      <c r="C15" s="5"/>
      <c r="D15" s="5"/>
    </row>
    <row r="16" spans="1:11" x14ac:dyDescent="0.25">
      <c r="A16" s="4" t="s">
        <v>42</v>
      </c>
      <c r="B16" s="7">
        <f>SUM(C16:D16)</f>
        <v>181384045</v>
      </c>
      <c r="C16" s="9">
        <v>176179045</v>
      </c>
      <c r="D16" s="9">
        <v>5205000</v>
      </c>
      <c r="E16" s="25" t="s">
        <v>149</v>
      </c>
    </row>
    <row r="17" spans="1:8" x14ac:dyDescent="0.25">
      <c r="A17" s="4" t="s">
        <v>86</v>
      </c>
      <c r="B17" s="7">
        <f>SUM(C17:E17)</f>
        <v>270290000.00999999</v>
      </c>
      <c r="C17" s="24">
        <f>881160000/4</f>
        <v>220290000</v>
      </c>
      <c r="D17" s="7">
        <f>12500000*3</f>
        <v>37500000</v>
      </c>
      <c r="E17" s="24">
        <f>4166666.67*3</f>
        <v>12500000.01</v>
      </c>
    </row>
    <row r="18" spans="1:8" x14ac:dyDescent="0.25">
      <c r="A18" s="4" t="s">
        <v>87</v>
      </c>
      <c r="B18" s="7">
        <f t="shared" ref="B18:B19" si="0">SUM(C18:E18)</f>
        <v>237596947.40000001</v>
      </c>
      <c r="C18" s="7">
        <v>237396947.40000001</v>
      </c>
      <c r="D18" s="7">
        <v>200000</v>
      </c>
    </row>
    <row r="19" spans="1:8" x14ac:dyDescent="0.25">
      <c r="A19" s="4" t="s">
        <v>85</v>
      </c>
      <c r="B19" s="7">
        <f t="shared" si="0"/>
        <v>1081161198</v>
      </c>
      <c r="C19" s="24">
        <v>881161198</v>
      </c>
      <c r="D19" s="7">
        <v>150000000</v>
      </c>
      <c r="E19" s="7">
        <v>50000000</v>
      </c>
    </row>
    <row r="20" spans="1:8" x14ac:dyDescent="0.25">
      <c r="A20" s="4" t="s">
        <v>88</v>
      </c>
      <c r="B20" s="7">
        <f>C20</f>
        <v>0</v>
      </c>
      <c r="C20" s="7"/>
      <c r="D20" s="7"/>
    </row>
    <row r="21" spans="1:8" x14ac:dyDescent="0.25">
      <c r="B21" s="7"/>
      <c r="C21" s="7"/>
      <c r="D21" s="7"/>
      <c r="H21" s="7"/>
    </row>
    <row r="22" spans="1:8" x14ac:dyDescent="0.25">
      <c r="A22" s="8" t="s">
        <v>11</v>
      </c>
      <c r="B22" s="9"/>
      <c r="C22" s="9"/>
      <c r="D22" s="9"/>
    </row>
    <row r="23" spans="1:8" x14ac:dyDescent="0.25">
      <c r="A23" s="10" t="s">
        <v>83</v>
      </c>
      <c r="B23" s="9">
        <f>B17</f>
        <v>270290000.00999999</v>
      </c>
      <c r="C23" s="9"/>
      <c r="D23" s="9"/>
    </row>
    <row r="24" spans="1:8" x14ac:dyDescent="0.25">
      <c r="A24" s="10" t="s">
        <v>84</v>
      </c>
      <c r="B24" s="9">
        <v>139327264.38999999</v>
      </c>
      <c r="C24" s="9"/>
      <c r="D24" s="9"/>
    </row>
    <row r="25" spans="1:8" x14ac:dyDescent="0.25">
      <c r="A25" s="11"/>
      <c r="B25" s="11"/>
      <c r="C25" s="11"/>
      <c r="D25" s="11"/>
    </row>
    <row r="26" spans="1:8" x14ac:dyDescent="0.25">
      <c r="A26" s="11" t="s">
        <v>12</v>
      </c>
      <c r="B26" s="11"/>
      <c r="C26" s="11"/>
      <c r="D26" s="11"/>
    </row>
    <row r="27" spans="1:8" x14ac:dyDescent="0.25">
      <c r="A27" s="10" t="s">
        <v>43</v>
      </c>
      <c r="B27" s="17">
        <v>1.4459435845999999</v>
      </c>
      <c r="C27" s="17">
        <v>1.4459435845999999</v>
      </c>
      <c r="D27" s="17">
        <v>1.4459435845999999</v>
      </c>
    </row>
    <row r="28" spans="1:8" x14ac:dyDescent="0.25">
      <c r="A28" s="10" t="s">
        <v>89</v>
      </c>
      <c r="B28" s="17">
        <v>1.5060713566999999</v>
      </c>
      <c r="C28" s="17">
        <v>1.5060713566999999</v>
      </c>
      <c r="D28" s="17">
        <v>1.5060713566999999</v>
      </c>
    </row>
    <row r="29" spans="1:8" x14ac:dyDescent="0.25">
      <c r="A29" s="10" t="s">
        <v>14</v>
      </c>
      <c r="B29" s="9">
        <v>642</v>
      </c>
      <c r="C29" s="9"/>
      <c r="D29" s="9"/>
    </row>
    <row r="30" spans="1:8" x14ac:dyDescent="0.25">
      <c r="A30" s="11"/>
      <c r="B30" s="11"/>
      <c r="C30" s="11"/>
      <c r="D30" s="11"/>
    </row>
    <row r="31" spans="1:8" x14ac:dyDescent="0.25">
      <c r="A31" s="12" t="s">
        <v>15</v>
      </c>
      <c r="B31" s="11"/>
      <c r="C31" s="11"/>
      <c r="D31" s="11"/>
    </row>
    <row r="32" spans="1:8" x14ac:dyDescent="0.25">
      <c r="A32" s="11" t="s">
        <v>44</v>
      </c>
      <c r="B32" s="9">
        <f>B16/B27</f>
        <v>125443376.16752687</v>
      </c>
      <c r="C32" s="9">
        <f>C16/C27</f>
        <v>121843650.66271757</v>
      </c>
      <c r="D32" s="9">
        <f>D16/D27</f>
        <v>3599725.5048092976</v>
      </c>
    </row>
    <row r="33" spans="1:8" x14ac:dyDescent="0.25">
      <c r="A33" s="11" t="s">
        <v>90</v>
      </c>
      <c r="B33" s="9">
        <f>B18/B28</f>
        <v>157759422.44901738</v>
      </c>
      <c r="C33" s="9">
        <f>C18/C28</f>
        <v>157626626.6162633</v>
      </c>
      <c r="D33" s="9">
        <f>D18/D28</f>
        <v>132795.83275405108</v>
      </c>
    </row>
    <row r="34" spans="1:8" x14ac:dyDescent="0.25">
      <c r="A34" s="11" t="s">
        <v>45</v>
      </c>
      <c r="B34" s="9">
        <f>B32/B10</f>
        <v>859201.2066268964</v>
      </c>
      <c r="C34" s="9">
        <f t="shared" ref="C34" si="1">C32/C10</f>
        <v>834545.55248436693</v>
      </c>
      <c r="D34" s="9"/>
    </row>
    <row r="35" spans="1:8" x14ac:dyDescent="0.25">
      <c r="A35" s="11" t="s">
        <v>91</v>
      </c>
      <c r="B35" s="9">
        <f>B33/B12</f>
        <v>839145.86409051798</v>
      </c>
      <c r="C35" s="9">
        <f>C33/C12</f>
        <v>838439.50327799632</v>
      </c>
      <c r="D35" s="9"/>
    </row>
    <row r="37" spans="1:8" x14ac:dyDescent="0.25">
      <c r="A37" s="3" t="s">
        <v>18</v>
      </c>
    </row>
    <row r="39" spans="1:8" x14ac:dyDescent="0.25">
      <c r="A39" t="s">
        <v>19</v>
      </c>
    </row>
    <row r="40" spans="1:8" x14ac:dyDescent="0.25">
      <c r="A40" t="s">
        <v>20</v>
      </c>
      <c r="B40" s="15">
        <f>(B11*100)/(B29)</f>
        <v>23.364485981308412</v>
      </c>
      <c r="C40" s="15" t="e">
        <f>(C11*100)/(C29)</f>
        <v>#DIV/0!</v>
      </c>
      <c r="D40" s="13"/>
      <c r="E40" s="11"/>
      <c r="F40" s="11"/>
      <c r="G40" s="11"/>
      <c r="H40" s="11"/>
    </row>
    <row r="41" spans="1:8" x14ac:dyDescent="0.25">
      <c r="A41" t="s">
        <v>21</v>
      </c>
      <c r="B41" s="15">
        <f>(B12*100)/(B29)</f>
        <v>29.283489096573209</v>
      </c>
      <c r="C41" s="15" t="e">
        <f>(C12*100)/(C29)</f>
        <v>#DIV/0!</v>
      </c>
      <c r="D41" s="13"/>
    </row>
    <row r="43" spans="1:8" x14ac:dyDescent="0.25">
      <c r="A43" t="s">
        <v>22</v>
      </c>
    </row>
    <row r="44" spans="1:8" x14ac:dyDescent="0.25">
      <c r="A44" t="s">
        <v>23</v>
      </c>
      <c r="B44" s="14">
        <f>B12/B11*100</f>
        <v>125.33333333333334</v>
      </c>
      <c r="C44" s="14">
        <f>C12/C11*100</f>
        <v>125.33333333333334</v>
      </c>
      <c r="D44" s="14"/>
    </row>
    <row r="45" spans="1:8" x14ac:dyDescent="0.25">
      <c r="A45" t="s">
        <v>24</v>
      </c>
      <c r="B45" s="14">
        <f>B18/B17*100</f>
        <v>87.904453509641328</v>
      </c>
      <c r="C45" s="14">
        <f>C18/C17*100</f>
        <v>107.76564864496801</v>
      </c>
      <c r="D45" s="14">
        <f>D18/D17*100</f>
        <v>0.53333333333333333</v>
      </c>
    </row>
    <row r="46" spans="1:8" x14ac:dyDescent="0.25">
      <c r="A46" s="11" t="s">
        <v>25</v>
      </c>
      <c r="B46" s="13">
        <f>AVERAGE(B44:B45)</f>
        <v>106.61889342148734</v>
      </c>
      <c r="C46" s="13">
        <f>AVERAGE(C44:C45)</f>
        <v>116.54949098915068</v>
      </c>
      <c r="D46" s="13"/>
    </row>
    <row r="47" spans="1:8" x14ac:dyDescent="0.25">
      <c r="A47" s="11"/>
      <c r="B47" s="13"/>
      <c r="C47" s="13"/>
      <c r="D47" s="13"/>
    </row>
    <row r="48" spans="1:8" x14ac:dyDescent="0.25">
      <c r="A48" s="11" t="s">
        <v>26</v>
      </c>
      <c r="B48" s="11"/>
      <c r="C48" s="11"/>
      <c r="D48" s="11"/>
    </row>
    <row r="49" spans="1:4" x14ac:dyDescent="0.25">
      <c r="A49" s="11" t="s">
        <v>27</v>
      </c>
      <c r="B49" s="13">
        <f>B12/(B13*4)*100</f>
        <v>2.6111111111111112</v>
      </c>
      <c r="C49" s="13">
        <f>C12/(C13*4)*100</f>
        <v>2.6111111111111112</v>
      </c>
      <c r="D49" s="13"/>
    </row>
    <row r="50" spans="1:4" x14ac:dyDescent="0.25">
      <c r="A50" s="11" t="s">
        <v>28</v>
      </c>
      <c r="B50" s="13">
        <f>B18/B19*100</f>
        <v>21.976089027197958</v>
      </c>
      <c r="C50" s="13">
        <f>C18/C19*100</f>
        <v>26.941375532516354</v>
      </c>
      <c r="D50" s="13">
        <f>D18/D19*100</f>
        <v>0.13333333333333333</v>
      </c>
    </row>
    <row r="51" spans="1:4" x14ac:dyDescent="0.25">
      <c r="A51" s="11" t="s">
        <v>29</v>
      </c>
      <c r="B51" s="13">
        <f>(B49+B50)/2</f>
        <v>12.293600069154534</v>
      </c>
      <c r="C51" s="13">
        <f>(C49+C50)/2</f>
        <v>14.776243321813732</v>
      </c>
      <c r="D51" s="13"/>
    </row>
    <row r="52" spans="1:4" x14ac:dyDescent="0.25">
      <c r="A52" s="11"/>
      <c r="B52" s="11"/>
      <c r="C52" s="11"/>
      <c r="D52" s="11"/>
    </row>
    <row r="53" spans="1:4" x14ac:dyDescent="0.25">
      <c r="A53" s="11" t="s">
        <v>71</v>
      </c>
      <c r="B53" s="11"/>
      <c r="C53" s="11"/>
      <c r="D53" s="11"/>
    </row>
    <row r="54" spans="1:4" x14ac:dyDescent="0.25">
      <c r="A54" s="11" t="s">
        <v>30</v>
      </c>
      <c r="B54" s="15">
        <f>B20/B18</f>
        <v>0</v>
      </c>
      <c r="C54" s="13"/>
      <c r="D54" s="13"/>
    </row>
    <row r="55" spans="1:4" x14ac:dyDescent="0.25">
      <c r="A55" s="11"/>
      <c r="B55" s="11"/>
      <c r="C55" s="11"/>
      <c r="D55" s="11"/>
    </row>
    <row r="56" spans="1:4" x14ac:dyDescent="0.25">
      <c r="A56" s="11" t="s">
        <v>31</v>
      </c>
      <c r="B56" s="11"/>
      <c r="C56" s="11"/>
      <c r="D56" s="11"/>
    </row>
    <row r="57" spans="1:4" x14ac:dyDescent="0.25">
      <c r="A57" s="11" t="s">
        <v>32</v>
      </c>
      <c r="B57" s="14">
        <f>((B12/B10)-1)*100</f>
        <v>28.767123287671236</v>
      </c>
      <c r="C57" s="14"/>
      <c r="D57" s="13"/>
    </row>
    <row r="58" spans="1:4" x14ac:dyDescent="0.25">
      <c r="A58" s="11" t="s">
        <v>33</v>
      </c>
      <c r="B58" s="14">
        <f>((B33/B32)-1)*100</f>
        <v>25.761460882823449</v>
      </c>
      <c r="C58" s="14">
        <f>((C33/C32)-1)*100</f>
        <v>29.367944705299955</v>
      </c>
      <c r="D58" s="13"/>
    </row>
    <row r="59" spans="1:4" x14ac:dyDescent="0.25">
      <c r="A59" s="11" t="s">
        <v>34</v>
      </c>
      <c r="B59" s="14">
        <f>((B35/B34)-1)*100</f>
        <v>-2.3341846335520056</v>
      </c>
      <c r="C59" s="14">
        <f>((C35/C34)-1)*100</f>
        <v>0.46659535624358206</v>
      </c>
      <c r="D59" s="13"/>
    </row>
    <row r="60" spans="1:4" x14ac:dyDescent="0.25">
      <c r="A60" s="11"/>
      <c r="B60" s="13"/>
      <c r="C60" s="13"/>
      <c r="D60" s="13"/>
    </row>
    <row r="61" spans="1:4" x14ac:dyDescent="0.25">
      <c r="A61" s="11" t="s">
        <v>35</v>
      </c>
      <c r="B61" s="11"/>
      <c r="C61" s="11"/>
      <c r="D61" s="11"/>
    </row>
    <row r="62" spans="1:4" x14ac:dyDescent="0.25">
      <c r="A62" t="s">
        <v>75</v>
      </c>
      <c r="B62" s="9">
        <f>B17/(B11*3)</f>
        <v>600644.44446666667</v>
      </c>
      <c r="C62" s="9">
        <f>C17/(C11*3)</f>
        <v>489533.33333333331</v>
      </c>
      <c r="D62" s="9"/>
    </row>
    <row r="63" spans="1:4" x14ac:dyDescent="0.25">
      <c r="A63" t="s">
        <v>76</v>
      </c>
      <c r="B63" s="9">
        <f>B18/(B12*3)</f>
        <v>421271.18333333335</v>
      </c>
      <c r="C63" s="9">
        <f>C18/(C12*3)</f>
        <v>420916.57340425532</v>
      </c>
      <c r="D63" s="9"/>
    </row>
    <row r="64" spans="1:4" x14ac:dyDescent="0.25">
      <c r="A64" s="11" t="s">
        <v>36</v>
      </c>
      <c r="B64" s="9">
        <f>(B62/B63)*B46</f>
        <v>152.0162036768794</v>
      </c>
      <c r="C64" s="9">
        <f>(C62/C63)*C46</f>
        <v>135.54909553876317</v>
      </c>
      <c r="D64" s="13"/>
    </row>
    <row r="65" spans="1:4" x14ac:dyDescent="0.25">
      <c r="A65" s="13" t="s">
        <v>77</v>
      </c>
      <c r="B65" s="9">
        <f>B17/B11</f>
        <v>1801933.3333999999</v>
      </c>
      <c r="C65" s="9">
        <f>C17/C11</f>
        <v>1468600</v>
      </c>
      <c r="D65" s="13"/>
    </row>
    <row r="66" spans="1:4" x14ac:dyDescent="0.25">
      <c r="A66" s="13" t="s">
        <v>78</v>
      </c>
      <c r="B66" s="9">
        <f>B18/B12</f>
        <v>1263813.55</v>
      </c>
      <c r="C66" s="9">
        <f>C18/C12</f>
        <v>1262749.720212766</v>
      </c>
      <c r="D66" s="13"/>
    </row>
    <row r="67" spans="1:4" x14ac:dyDescent="0.25">
      <c r="B67" s="9"/>
      <c r="C67" s="9"/>
      <c r="D67" s="14"/>
    </row>
    <row r="68" spans="1:4" x14ac:dyDescent="0.25">
      <c r="A68" t="s">
        <v>37</v>
      </c>
      <c r="B68" s="14"/>
      <c r="C68" s="14"/>
      <c r="D68" s="14"/>
    </row>
    <row r="69" spans="1:4" x14ac:dyDescent="0.25">
      <c r="A69" s="11" t="s">
        <v>38</v>
      </c>
      <c r="B69" s="13">
        <f>(B24/B23)*100</f>
        <v>51.547324867677403</v>
      </c>
      <c r="C69" s="13"/>
      <c r="D69" s="13"/>
    </row>
    <row r="70" spans="1:4" x14ac:dyDescent="0.25">
      <c r="A70" s="11" t="s">
        <v>39</v>
      </c>
      <c r="B70" s="13">
        <f>(B18/B24)*100</f>
        <v>170.53155277270568</v>
      </c>
      <c r="C70" s="13"/>
      <c r="D70" s="13"/>
    </row>
    <row r="71" spans="1:4" ht="15.75" thickBot="1" x14ac:dyDescent="0.3">
      <c r="A71" s="16"/>
      <c r="B71" s="16"/>
      <c r="C71" s="16"/>
      <c r="D71" s="16"/>
    </row>
    <row r="72" spans="1:4" ht="15.75" thickTop="1" x14ac:dyDescent="0.25"/>
    <row r="73" spans="1:4" x14ac:dyDescent="0.25">
      <c r="A73" t="s">
        <v>40</v>
      </c>
    </row>
    <row r="74" spans="1:4" x14ac:dyDescent="0.25">
      <c r="A74" t="s">
        <v>150</v>
      </c>
    </row>
    <row r="75" spans="1:4" x14ac:dyDescent="0.25">
      <c r="A75" t="s">
        <v>92</v>
      </c>
    </row>
    <row r="76" spans="1:4" x14ac:dyDescent="0.25">
      <c r="B76" s="5"/>
      <c r="C76" s="5"/>
      <c r="D76" s="5"/>
    </row>
    <row r="78" spans="1:4" x14ac:dyDescent="0.25">
      <c r="A78" t="s">
        <v>72</v>
      </c>
    </row>
    <row r="79" spans="1:4" x14ac:dyDescent="0.25">
      <c r="A79" s="21" t="s">
        <v>80</v>
      </c>
    </row>
    <row r="80" spans="1:4" s="11" customFormat="1" x14ac:dyDescent="0.25">
      <c r="A80" s="22" t="s">
        <v>73</v>
      </c>
    </row>
    <row r="81" spans="1:1" s="11" customFormat="1" x14ac:dyDescent="0.25">
      <c r="A81" s="22" t="s">
        <v>74</v>
      </c>
    </row>
    <row r="82" spans="1:1" s="11" customFormat="1" x14ac:dyDescent="0.25"/>
    <row r="83" spans="1:1" s="11" customFormat="1" x14ac:dyDescent="0.25"/>
  </sheetData>
  <mergeCells count="2">
    <mergeCell ref="A2:D2"/>
    <mergeCell ref="A4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1"/>
  <sheetViews>
    <sheetView topLeftCell="A16" zoomScale="80" zoomScaleNormal="80" workbookViewId="0">
      <selection activeCell="J36" sqref="J36"/>
    </sheetView>
  </sheetViews>
  <sheetFormatPr baseColWidth="10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2.7109375" bestFit="1" customWidth="1"/>
  </cols>
  <sheetData>
    <row r="2" spans="1:5" ht="15.75" x14ac:dyDescent="0.25">
      <c r="A2" s="26" t="s">
        <v>146</v>
      </c>
      <c r="B2" s="26"/>
      <c r="C2" s="26"/>
      <c r="D2" s="26"/>
    </row>
    <row r="4" spans="1:5" x14ac:dyDescent="0.25">
      <c r="A4" s="27" t="s">
        <v>0</v>
      </c>
      <c r="B4" s="1" t="s">
        <v>1</v>
      </c>
      <c r="C4" s="18" t="s">
        <v>2</v>
      </c>
      <c r="D4" s="1" t="s">
        <v>5</v>
      </c>
      <c r="E4" s="1" t="s">
        <v>147</v>
      </c>
    </row>
    <row r="5" spans="1:5" ht="15.75" thickBot="1" x14ac:dyDescent="0.3">
      <c r="A5" s="28"/>
      <c r="B5" s="2" t="s">
        <v>3</v>
      </c>
      <c r="C5" s="2" t="s">
        <v>4</v>
      </c>
      <c r="D5" s="2" t="s">
        <v>79</v>
      </c>
      <c r="E5" s="2" t="s">
        <v>148</v>
      </c>
    </row>
    <row r="6" spans="1:5" ht="15.75" thickTop="1" x14ac:dyDescent="0.25"/>
    <row r="7" spans="1:5" x14ac:dyDescent="0.25">
      <c r="A7" s="3" t="s">
        <v>6</v>
      </c>
    </row>
    <row r="9" spans="1:5" x14ac:dyDescent="0.25">
      <c r="A9" t="s">
        <v>7</v>
      </c>
    </row>
    <row r="10" spans="1:5" x14ac:dyDescent="0.25">
      <c r="A10" s="4" t="s">
        <v>46</v>
      </c>
      <c r="B10" s="7">
        <f>C10</f>
        <v>162</v>
      </c>
      <c r="C10" s="7">
        <v>162</v>
      </c>
      <c r="D10" s="5"/>
    </row>
    <row r="11" spans="1:5" x14ac:dyDescent="0.25">
      <c r="A11" s="4" t="s">
        <v>93</v>
      </c>
      <c r="B11" s="7">
        <f>C11</f>
        <v>150</v>
      </c>
      <c r="C11" s="7">
        <v>150</v>
      </c>
      <c r="D11" s="5"/>
    </row>
    <row r="12" spans="1:5" x14ac:dyDescent="0.25">
      <c r="A12" s="4" t="s">
        <v>94</v>
      </c>
      <c r="B12" s="7">
        <f>C12</f>
        <v>188</v>
      </c>
      <c r="C12" s="7">
        <v>188</v>
      </c>
      <c r="D12" s="5"/>
    </row>
    <row r="13" spans="1:5" x14ac:dyDescent="0.25">
      <c r="A13" s="4" t="s">
        <v>85</v>
      </c>
      <c r="B13" s="7">
        <f>C13</f>
        <v>1800</v>
      </c>
      <c r="C13" s="7">
        <v>1800</v>
      </c>
      <c r="D13" s="5"/>
    </row>
    <row r="14" spans="1:5" x14ac:dyDescent="0.25">
      <c r="B14" s="5"/>
      <c r="C14" s="5"/>
      <c r="D14" s="5"/>
    </row>
    <row r="15" spans="1:5" x14ac:dyDescent="0.25">
      <c r="A15" s="6" t="s">
        <v>9</v>
      </c>
      <c r="B15" s="5"/>
      <c r="C15" s="5"/>
      <c r="D15" s="5"/>
    </row>
    <row r="16" spans="1:5" x14ac:dyDescent="0.25">
      <c r="A16" s="4" t="s">
        <v>47</v>
      </c>
      <c r="B16" s="7">
        <f>SUM(C16:D16)</f>
        <v>180267354.5</v>
      </c>
      <c r="C16" s="9">
        <v>180267354.5</v>
      </c>
      <c r="D16" s="9">
        <v>0</v>
      </c>
    </row>
    <row r="17" spans="1:5" x14ac:dyDescent="0.25">
      <c r="A17" s="4" t="s">
        <v>95</v>
      </c>
      <c r="B17" s="7">
        <f>SUM(C17:E17)</f>
        <v>270290000.00999999</v>
      </c>
      <c r="C17" s="24">
        <f>881160000/4</f>
        <v>220290000</v>
      </c>
      <c r="D17" s="7">
        <f>12500000*3</f>
        <v>37500000</v>
      </c>
      <c r="E17" s="24">
        <f>4166666.67*3</f>
        <v>12500000.01</v>
      </c>
    </row>
    <row r="18" spans="1:5" x14ac:dyDescent="0.25">
      <c r="A18" s="4" t="s">
        <v>96</v>
      </c>
      <c r="B18" s="7">
        <f t="shared" ref="B18:B19" si="0">SUM(C18:E18)</f>
        <v>269309446.87</v>
      </c>
      <c r="C18" s="7">
        <v>269309446.87</v>
      </c>
      <c r="D18" s="7">
        <v>0</v>
      </c>
    </row>
    <row r="19" spans="1:5" x14ac:dyDescent="0.25">
      <c r="A19" s="4" t="s">
        <v>85</v>
      </c>
      <c r="B19" s="7">
        <f t="shared" si="0"/>
        <v>1081161198</v>
      </c>
      <c r="C19" s="24">
        <v>881161198</v>
      </c>
      <c r="D19" s="7">
        <v>150000000</v>
      </c>
      <c r="E19" s="7">
        <v>50000000</v>
      </c>
    </row>
    <row r="20" spans="1:5" x14ac:dyDescent="0.25">
      <c r="A20" s="4" t="s">
        <v>97</v>
      </c>
      <c r="B20" s="7">
        <f>C20</f>
        <v>0</v>
      </c>
      <c r="C20" s="7"/>
      <c r="D20" s="7"/>
    </row>
    <row r="21" spans="1:5" x14ac:dyDescent="0.25">
      <c r="B21" s="7"/>
      <c r="C21" s="7"/>
      <c r="D21" s="7"/>
    </row>
    <row r="22" spans="1:5" x14ac:dyDescent="0.25">
      <c r="A22" s="8" t="s">
        <v>11</v>
      </c>
      <c r="B22" s="9"/>
      <c r="C22" s="9"/>
      <c r="D22" s="9"/>
    </row>
    <row r="23" spans="1:5" x14ac:dyDescent="0.25">
      <c r="A23" s="10" t="s">
        <v>93</v>
      </c>
      <c r="B23" s="9">
        <f>B17</f>
        <v>270290000.00999999</v>
      </c>
      <c r="C23" s="9"/>
      <c r="D23" s="9"/>
    </row>
    <row r="24" spans="1:5" x14ac:dyDescent="0.25">
      <c r="A24" s="10" t="s">
        <v>94</v>
      </c>
      <c r="B24" s="9">
        <v>419299976.62</v>
      </c>
      <c r="C24" s="9"/>
      <c r="D24" s="9"/>
    </row>
    <row r="25" spans="1:5" x14ac:dyDescent="0.25">
      <c r="A25" s="11"/>
      <c r="B25" s="11"/>
      <c r="C25" s="11"/>
      <c r="D25" s="11"/>
    </row>
    <row r="26" spans="1:5" x14ac:dyDescent="0.25">
      <c r="A26" s="11" t="s">
        <v>12</v>
      </c>
      <c r="B26" s="11"/>
      <c r="C26" s="11"/>
      <c r="D26" s="11"/>
    </row>
    <row r="27" spans="1:5" x14ac:dyDescent="0.25">
      <c r="A27" s="10" t="s">
        <v>48</v>
      </c>
      <c r="B27" s="17">
        <v>1.4619442416999999</v>
      </c>
      <c r="C27" s="17">
        <v>1.4619442416999999</v>
      </c>
      <c r="D27" s="17">
        <v>1.4619442416999999</v>
      </c>
    </row>
    <row r="28" spans="1:5" x14ac:dyDescent="0.25">
      <c r="A28" s="10" t="s">
        <v>98</v>
      </c>
      <c r="B28" s="17">
        <v>1.5319088546000001</v>
      </c>
      <c r="C28" s="17">
        <v>1.5319088546000001</v>
      </c>
      <c r="D28" s="17">
        <v>1.5319088546000001</v>
      </c>
    </row>
    <row r="29" spans="1:5" x14ac:dyDescent="0.25">
      <c r="A29" s="10" t="s">
        <v>14</v>
      </c>
      <c r="B29" s="9">
        <v>642</v>
      </c>
      <c r="C29" s="9"/>
      <c r="D29" s="9"/>
    </row>
    <row r="30" spans="1:5" x14ac:dyDescent="0.25">
      <c r="A30" s="11"/>
      <c r="B30" s="11"/>
      <c r="C30" s="11"/>
      <c r="D30" s="11"/>
    </row>
    <row r="31" spans="1:5" x14ac:dyDescent="0.25">
      <c r="A31" s="12" t="s">
        <v>15</v>
      </c>
      <c r="B31" s="11"/>
      <c r="C31" s="11"/>
      <c r="D31" s="11"/>
    </row>
    <row r="32" spans="1:5" x14ac:dyDescent="0.25">
      <c r="A32" s="11" t="s">
        <v>49</v>
      </c>
      <c r="B32" s="9">
        <f>B16/B27</f>
        <v>123306586.77541547</v>
      </c>
      <c r="C32" s="9">
        <f>C16/C27</f>
        <v>123306586.77541547</v>
      </c>
      <c r="D32" s="9">
        <f>D16/D27</f>
        <v>0</v>
      </c>
    </row>
    <row r="33" spans="1:8" x14ac:dyDescent="0.25">
      <c r="A33" s="11" t="s">
        <v>99</v>
      </c>
      <c r="B33" s="9">
        <f>B18/B28</f>
        <v>175799915.28955549</v>
      </c>
      <c r="C33" s="9">
        <f>C18/C28</f>
        <v>175799915.28955549</v>
      </c>
      <c r="D33" s="9">
        <f>D18/D28</f>
        <v>0</v>
      </c>
    </row>
    <row r="34" spans="1:8" x14ac:dyDescent="0.25">
      <c r="A34" s="11" t="s">
        <v>50</v>
      </c>
      <c r="B34" s="9">
        <f>B32/B10</f>
        <v>761151.77021861402</v>
      </c>
      <c r="C34" s="9">
        <f t="shared" ref="C34" si="1">C32/C10</f>
        <v>761151.77021861402</v>
      </c>
      <c r="D34" s="9"/>
    </row>
    <row r="35" spans="1:8" x14ac:dyDescent="0.25">
      <c r="A35" s="11" t="s">
        <v>100</v>
      </c>
      <c r="B35" s="9">
        <f>B33/B12</f>
        <v>935105.9323912526</v>
      </c>
      <c r="C35" s="9">
        <f>C33/C12</f>
        <v>935105.9323912526</v>
      </c>
      <c r="D35" s="9"/>
    </row>
    <row r="37" spans="1:8" x14ac:dyDescent="0.25">
      <c r="A37" s="3" t="s">
        <v>18</v>
      </c>
    </row>
    <row r="39" spans="1:8" x14ac:dyDescent="0.25">
      <c r="A39" t="s">
        <v>19</v>
      </c>
    </row>
    <row r="40" spans="1:8" x14ac:dyDescent="0.25">
      <c r="A40" t="s">
        <v>20</v>
      </c>
      <c r="B40" s="15">
        <f>(B11*100)/(B29)</f>
        <v>23.364485981308412</v>
      </c>
      <c r="C40" s="15" t="e">
        <f>(C11*100)/(C29)</f>
        <v>#DIV/0!</v>
      </c>
      <c r="D40" s="13"/>
      <c r="E40" s="11"/>
      <c r="F40" s="11"/>
      <c r="G40" s="11"/>
      <c r="H40" s="11"/>
    </row>
    <row r="41" spans="1:8" x14ac:dyDescent="0.25">
      <c r="A41" t="s">
        <v>21</v>
      </c>
      <c r="B41" s="15">
        <f>(B12*100)/(B29)</f>
        <v>29.283489096573209</v>
      </c>
      <c r="C41" s="15" t="e">
        <f>(C12*100)/(C29)</f>
        <v>#DIV/0!</v>
      </c>
      <c r="D41" s="13"/>
    </row>
    <row r="43" spans="1:8" x14ac:dyDescent="0.25">
      <c r="A43" t="s">
        <v>22</v>
      </c>
    </row>
    <row r="44" spans="1:8" x14ac:dyDescent="0.25">
      <c r="A44" t="s">
        <v>23</v>
      </c>
      <c r="B44" s="14">
        <f>B12/B11*100</f>
        <v>125.33333333333334</v>
      </c>
      <c r="C44" s="14">
        <f>C12/C11*100</f>
        <v>125.33333333333334</v>
      </c>
      <c r="D44" s="14"/>
    </row>
    <row r="45" spans="1:8" x14ac:dyDescent="0.25">
      <c r="A45" t="s">
        <v>24</v>
      </c>
      <c r="B45" s="14">
        <f>B18/B17*100</f>
        <v>99.637221821020489</v>
      </c>
      <c r="C45" s="14">
        <f>C18/C17*100</f>
        <v>122.25223426846429</v>
      </c>
      <c r="D45" s="14">
        <f>D18/D17*100</f>
        <v>0</v>
      </c>
    </row>
    <row r="46" spans="1:8" x14ac:dyDescent="0.25">
      <c r="A46" s="11" t="s">
        <v>25</v>
      </c>
      <c r="B46" s="13">
        <f>AVERAGE(B44:B45)</f>
        <v>112.48527757717692</v>
      </c>
      <c r="C46" s="13">
        <f>AVERAGE(C44:C45)</f>
        <v>123.79278380089882</v>
      </c>
      <c r="D46" s="13"/>
    </row>
    <row r="47" spans="1:8" x14ac:dyDescent="0.25">
      <c r="A47" s="11"/>
      <c r="B47" s="13"/>
      <c r="C47" s="13"/>
      <c r="D47" s="13"/>
    </row>
    <row r="48" spans="1:8" x14ac:dyDescent="0.25">
      <c r="A48" s="11" t="s">
        <v>26</v>
      </c>
      <c r="B48" s="11"/>
      <c r="C48" s="11"/>
      <c r="D48" s="11"/>
    </row>
    <row r="49" spans="1:4" x14ac:dyDescent="0.25">
      <c r="A49" s="11" t="s">
        <v>27</v>
      </c>
      <c r="B49" s="13">
        <f>B12/(B13*4)*100</f>
        <v>2.6111111111111112</v>
      </c>
      <c r="C49" s="13">
        <f>C12/(C13*4)*100</f>
        <v>2.6111111111111112</v>
      </c>
      <c r="D49" s="13"/>
    </row>
    <row r="50" spans="1:4" x14ac:dyDescent="0.25">
      <c r="A50" s="11" t="s">
        <v>28</v>
      </c>
      <c r="B50" s="13">
        <f>B18/B19*100</f>
        <v>24.909277854975333</v>
      </c>
      <c r="C50" s="13">
        <f>C18/C19*100</f>
        <v>30.563017014509985</v>
      </c>
      <c r="D50" s="13">
        <f>D18/D19*100</f>
        <v>0</v>
      </c>
    </row>
    <row r="51" spans="1:4" x14ac:dyDescent="0.25">
      <c r="A51" s="11" t="s">
        <v>29</v>
      </c>
      <c r="B51" s="13">
        <f>(B49+B50)/2</f>
        <v>13.760194483043222</v>
      </c>
      <c r="C51" s="13">
        <f>(C49+C50)/2</f>
        <v>16.587064062810548</v>
      </c>
      <c r="D51" s="13"/>
    </row>
    <row r="52" spans="1:4" x14ac:dyDescent="0.25">
      <c r="A52" s="11"/>
      <c r="B52" s="11"/>
      <c r="C52" s="11"/>
      <c r="D52" s="11"/>
    </row>
    <row r="53" spans="1:4" x14ac:dyDescent="0.25">
      <c r="A53" s="11" t="s">
        <v>71</v>
      </c>
      <c r="B53" s="11"/>
      <c r="C53" s="11"/>
      <c r="D53" s="11"/>
    </row>
    <row r="54" spans="1:4" x14ac:dyDescent="0.25">
      <c r="A54" s="11" t="s">
        <v>30</v>
      </c>
      <c r="B54" s="15">
        <f>B20/B18</f>
        <v>0</v>
      </c>
      <c r="C54" s="13"/>
      <c r="D54" s="13"/>
    </row>
    <row r="55" spans="1:4" x14ac:dyDescent="0.25">
      <c r="A55" s="11"/>
      <c r="B55" s="11"/>
      <c r="C55" s="11"/>
      <c r="D55" s="11"/>
    </row>
    <row r="56" spans="1:4" x14ac:dyDescent="0.25">
      <c r="A56" s="11" t="s">
        <v>31</v>
      </c>
      <c r="B56" s="11"/>
      <c r="C56" s="11"/>
      <c r="D56" s="11"/>
    </row>
    <row r="57" spans="1:4" x14ac:dyDescent="0.25">
      <c r="A57" s="11" t="s">
        <v>32</v>
      </c>
      <c r="B57" s="14">
        <f>((B12/B10)-1)*100</f>
        <v>16.049382716049386</v>
      </c>
      <c r="C57" s="14"/>
      <c r="D57" s="13"/>
    </row>
    <row r="58" spans="1:4" x14ac:dyDescent="0.25">
      <c r="A58" s="11" t="s">
        <v>33</v>
      </c>
      <c r="B58" s="14">
        <f>((B33/B32)-1)*100</f>
        <v>42.571390456009283</v>
      </c>
      <c r="C58" s="14">
        <f>((C33/C32)-1)*100</f>
        <v>42.571390456009283</v>
      </c>
      <c r="D58" s="13"/>
    </row>
    <row r="59" spans="1:4" x14ac:dyDescent="0.25">
      <c r="A59" s="11" t="s">
        <v>34</v>
      </c>
      <c r="B59" s="14">
        <f>((B35/B34)-1)*100</f>
        <v>22.85407049932715</v>
      </c>
      <c r="C59" s="14">
        <f>((C35/C34)-1)*100</f>
        <v>22.85407049932715</v>
      </c>
      <c r="D59" s="13"/>
    </row>
    <row r="60" spans="1:4" x14ac:dyDescent="0.25">
      <c r="A60" s="11"/>
      <c r="B60" s="13"/>
      <c r="C60" s="13"/>
      <c r="D60" s="13"/>
    </row>
    <row r="61" spans="1:4" x14ac:dyDescent="0.25">
      <c r="A61" s="11" t="s">
        <v>35</v>
      </c>
      <c r="B61" s="11"/>
      <c r="C61" s="11"/>
      <c r="D61" s="11"/>
    </row>
    <row r="62" spans="1:4" x14ac:dyDescent="0.25">
      <c r="A62" t="s">
        <v>75</v>
      </c>
      <c r="B62" s="9">
        <f>B17/(B11*3)</f>
        <v>600644.44446666667</v>
      </c>
      <c r="C62" s="9">
        <f>C17/(C11*3)</f>
        <v>489533.33333333331</v>
      </c>
      <c r="D62" s="9"/>
    </row>
    <row r="63" spans="1:4" x14ac:dyDescent="0.25">
      <c r="A63" t="s">
        <v>76</v>
      </c>
      <c r="B63" s="9">
        <f>B18/(B12*3)</f>
        <v>477499.01927304966</v>
      </c>
      <c r="C63" s="9">
        <f>C18/(C12*3)</f>
        <v>477499.01927304966</v>
      </c>
      <c r="D63" s="9"/>
    </row>
    <row r="64" spans="1:4" x14ac:dyDescent="0.25">
      <c r="A64" s="11" t="s">
        <v>36</v>
      </c>
      <c r="B64" s="9">
        <f>(B62/B63)*B46</f>
        <v>141.49486037454477</v>
      </c>
      <c r="C64" s="9">
        <f>(C62/C63)*C46</f>
        <v>126.91270903325811</v>
      </c>
      <c r="D64" s="13"/>
    </row>
    <row r="65" spans="1:4" x14ac:dyDescent="0.25">
      <c r="A65" s="13" t="s">
        <v>77</v>
      </c>
      <c r="B65" s="9">
        <f>B17/B11</f>
        <v>1801933.3333999999</v>
      </c>
      <c r="C65" s="9">
        <f>C17/C11</f>
        <v>1468600</v>
      </c>
      <c r="D65" s="13"/>
    </row>
    <row r="66" spans="1:4" x14ac:dyDescent="0.25">
      <c r="A66" s="13" t="s">
        <v>78</v>
      </c>
      <c r="B66" s="9">
        <f>B18/B12</f>
        <v>1432497.057819149</v>
      </c>
      <c r="C66" s="9">
        <f>C18/C12</f>
        <v>1432497.057819149</v>
      </c>
      <c r="D66" s="13"/>
    </row>
    <row r="67" spans="1:4" x14ac:dyDescent="0.25">
      <c r="B67" s="9"/>
      <c r="C67" s="9"/>
      <c r="D67" s="14"/>
    </row>
    <row r="68" spans="1:4" x14ac:dyDescent="0.25">
      <c r="A68" t="s">
        <v>37</v>
      </c>
      <c r="B68" s="14"/>
      <c r="C68" s="14"/>
      <c r="D68" s="14"/>
    </row>
    <row r="69" spans="1:4" x14ac:dyDescent="0.25">
      <c r="A69" s="11" t="s">
        <v>38</v>
      </c>
      <c r="B69" s="13">
        <f>(B24/B23)*100</f>
        <v>155.12966687797811</v>
      </c>
      <c r="C69" s="13"/>
      <c r="D69" s="13"/>
    </row>
    <row r="70" spans="1:4" x14ac:dyDescent="0.25">
      <c r="A70" s="11" t="s">
        <v>39</v>
      </c>
      <c r="B70" s="13">
        <f>(B18/B24)*100</f>
        <v>64.228347695346457</v>
      </c>
      <c r="C70" s="13"/>
      <c r="D70" s="13"/>
    </row>
    <row r="71" spans="1:4" ht="15.75" thickBot="1" x14ac:dyDescent="0.3">
      <c r="A71" s="16"/>
      <c r="B71" s="16"/>
      <c r="C71" s="16"/>
      <c r="D71" s="16"/>
    </row>
    <row r="72" spans="1:4" ht="15.75" thickTop="1" x14ac:dyDescent="0.25"/>
    <row r="73" spans="1:4" x14ac:dyDescent="0.25">
      <c r="A73" t="s">
        <v>40</v>
      </c>
    </row>
    <row r="74" spans="1:4" x14ac:dyDescent="0.25">
      <c r="A74" t="s">
        <v>150</v>
      </c>
    </row>
    <row r="75" spans="1:4" x14ac:dyDescent="0.25">
      <c r="A75" t="s">
        <v>92</v>
      </c>
      <c r="B75" s="5"/>
      <c r="C75" s="5"/>
      <c r="D75" s="5"/>
    </row>
    <row r="78" spans="1:4" x14ac:dyDescent="0.25">
      <c r="A78" t="s">
        <v>72</v>
      </c>
    </row>
    <row r="79" spans="1:4" x14ac:dyDescent="0.25">
      <c r="A79" s="21" t="s">
        <v>80</v>
      </c>
    </row>
    <row r="80" spans="1:4" x14ac:dyDescent="0.25">
      <c r="A80" s="22" t="s">
        <v>73</v>
      </c>
    </row>
    <row r="81" spans="1:1" x14ac:dyDescent="0.25">
      <c r="A81" s="22" t="s">
        <v>74</v>
      </c>
    </row>
  </sheetData>
  <mergeCells count="2">
    <mergeCell ref="A2:D2"/>
    <mergeCell ref="A4: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1"/>
  <sheetViews>
    <sheetView workbookViewId="0">
      <selection activeCell="A77" sqref="A77"/>
    </sheetView>
  </sheetViews>
  <sheetFormatPr baseColWidth="10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2.7109375" bestFit="1" customWidth="1"/>
  </cols>
  <sheetData>
    <row r="2" spans="1:5" ht="15.75" x14ac:dyDescent="0.25">
      <c r="A2" s="26" t="s">
        <v>101</v>
      </c>
      <c r="B2" s="26"/>
      <c r="C2" s="26"/>
      <c r="D2" s="26"/>
    </row>
    <row r="4" spans="1:5" x14ac:dyDescent="0.25">
      <c r="A4" s="27" t="s">
        <v>0</v>
      </c>
      <c r="B4" s="1" t="s">
        <v>1</v>
      </c>
      <c r="C4" s="18" t="s">
        <v>2</v>
      </c>
      <c r="D4" s="1" t="s">
        <v>5</v>
      </c>
      <c r="E4" s="1" t="s">
        <v>147</v>
      </c>
    </row>
    <row r="5" spans="1:5" ht="15.75" thickBot="1" x14ac:dyDescent="0.3">
      <c r="A5" s="28"/>
      <c r="B5" s="2" t="s">
        <v>3</v>
      </c>
      <c r="C5" s="2" t="s">
        <v>4</v>
      </c>
      <c r="D5" s="2" t="s">
        <v>79</v>
      </c>
      <c r="E5" s="2" t="s">
        <v>148</v>
      </c>
    </row>
    <row r="6" spans="1:5" ht="15.75" thickTop="1" x14ac:dyDescent="0.25"/>
    <row r="7" spans="1:5" x14ac:dyDescent="0.25">
      <c r="A7" s="3" t="s">
        <v>6</v>
      </c>
    </row>
    <row r="9" spans="1:5" x14ac:dyDescent="0.25">
      <c r="A9" t="s">
        <v>7</v>
      </c>
    </row>
    <row r="10" spans="1:5" x14ac:dyDescent="0.25">
      <c r="A10" s="4" t="s">
        <v>8</v>
      </c>
      <c r="B10" s="7">
        <f>C10</f>
        <v>207</v>
      </c>
      <c r="C10" s="7">
        <v>207</v>
      </c>
      <c r="D10" s="5"/>
    </row>
    <row r="11" spans="1:5" x14ac:dyDescent="0.25">
      <c r="A11" s="4" t="s">
        <v>102</v>
      </c>
      <c r="B11" s="7">
        <f>C11</f>
        <v>150</v>
      </c>
      <c r="C11" s="7">
        <v>150</v>
      </c>
      <c r="D11" s="5"/>
    </row>
    <row r="12" spans="1:5" x14ac:dyDescent="0.25">
      <c r="A12" s="4" t="s">
        <v>103</v>
      </c>
      <c r="B12" s="7">
        <f>C12</f>
        <v>191</v>
      </c>
      <c r="C12" s="7">
        <v>191</v>
      </c>
      <c r="D12" s="5"/>
    </row>
    <row r="13" spans="1:5" x14ac:dyDescent="0.25">
      <c r="A13" s="4" t="s">
        <v>85</v>
      </c>
      <c r="B13" s="7">
        <f>C13</f>
        <v>1800</v>
      </c>
      <c r="C13" s="7">
        <v>1800</v>
      </c>
      <c r="D13" s="5"/>
    </row>
    <row r="14" spans="1:5" x14ac:dyDescent="0.25">
      <c r="B14" s="5"/>
      <c r="C14" s="5"/>
      <c r="D14" s="5"/>
    </row>
    <row r="15" spans="1:5" x14ac:dyDescent="0.25">
      <c r="A15" s="6" t="s">
        <v>9</v>
      </c>
      <c r="B15" s="5"/>
      <c r="C15" s="5"/>
      <c r="D15" s="5"/>
    </row>
    <row r="16" spans="1:5" x14ac:dyDescent="0.25">
      <c r="A16" s="4" t="s">
        <v>10</v>
      </c>
      <c r="B16" s="7">
        <f>SUM(C16:D16)</f>
        <v>238291471</v>
      </c>
      <c r="C16" s="9">
        <v>231311471</v>
      </c>
      <c r="D16" s="9">
        <v>6980000</v>
      </c>
    </row>
    <row r="17" spans="1:5" x14ac:dyDescent="0.25">
      <c r="A17" s="4" t="s">
        <v>104</v>
      </c>
      <c r="B17" s="7">
        <f>SUM(C17:E17)</f>
        <v>270290000.00999999</v>
      </c>
      <c r="C17" s="24">
        <f>881160000/4</f>
        <v>220290000</v>
      </c>
      <c r="D17" s="7">
        <f>12500000*3</f>
        <v>37500000</v>
      </c>
      <c r="E17" s="24">
        <f>4166666.67*3</f>
        <v>12500000.01</v>
      </c>
    </row>
    <row r="18" spans="1:5" x14ac:dyDescent="0.25">
      <c r="A18" s="4" t="s">
        <v>105</v>
      </c>
      <c r="B18" s="7">
        <f t="shared" ref="B18:B19" si="0">SUM(C18:E18)</f>
        <v>263000000</v>
      </c>
      <c r="C18" s="7">
        <v>263000000</v>
      </c>
      <c r="D18" s="7">
        <v>0</v>
      </c>
    </row>
    <row r="19" spans="1:5" x14ac:dyDescent="0.25">
      <c r="A19" s="4" t="s">
        <v>85</v>
      </c>
      <c r="B19" s="7">
        <f t="shared" si="0"/>
        <v>1081161198</v>
      </c>
      <c r="C19" s="24">
        <v>881161198</v>
      </c>
      <c r="D19" s="7">
        <v>150000000</v>
      </c>
      <c r="E19" s="7">
        <v>50000000</v>
      </c>
    </row>
    <row r="20" spans="1:5" x14ac:dyDescent="0.25">
      <c r="A20" s="4" t="s">
        <v>106</v>
      </c>
      <c r="B20" s="7">
        <f>C20</f>
        <v>0</v>
      </c>
      <c r="C20" s="7"/>
      <c r="D20" s="7"/>
    </row>
    <row r="21" spans="1:5" x14ac:dyDescent="0.25">
      <c r="B21" s="7"/>
      <c r="C21" s="7"/>
      <c r="D21" s="7"/>
    </row>
    <row r="22" spans="1:5" x14ac:dyDescent="0.25">
      <c r="A22" s="8" t="s">
        <v>11</v>
      </c>
      <c r="B22" s="9"/>
      <c r="C22" s="9"/>
      <c r="D22" s="9"/>
    </row>
    <row r="23" spans="1:5" x14ac:dyDescent="0.25">
      <c r="A23" s="10" t="s">
        <v>102</v>
      </c>
      <c r="B23" s="9">
        <f>B17</f>
        <v>270290000.00999999</v>
      </c>
      <c r="C23" s="9"/>
      <c r="D23" s="9"/>
    </row>
    <row r="24" spans="1:5" x14ac:dyDescent="0.25">
      <c r="A24" s="10" t="s">
        <v>103</v>
      </c>
      <c r="B24" s="9">
        <v>279338627.98000002</v>
      </c>
      <c r="C24" s="9"/>
      <c r="D24" s="9"/>
    </row>
    <row r="25" spans="1:5" x14ac:dyDescent="0.25">
      <c r="A25" s="11"/>
      <c r="B25" s="11"/>
      <c r="C25" s="11"/>
      <c r="D25" s="11"/>
    </row>
    <row r="26" spans="1:5" x14ac:dyDescent="0.25">
      <c r="A26" s="11" t="s">
        <v>12</v>
      </c>
      <c r="B26" s="11"/>
      <c r="C26" s="11"/>
      <c r="D26" s="11"/>
    </row>
    <row r="27" spans="1:5" x14ac:dyDescent="0.25">
      <c r="A27" s="10" t="s">
        <v>13</v>
      </c>
      <c r="B27" s="17">
        <v>1.4773597119666666</v>
      </c>
      <c r="C27" s="17">
        <v>1.4773597119666666</v>
      </c>
      <c r="D27" s="17">
        <v>1.4773597119666666</v>
      </c>
    </row>
    <row r="28" spans="1:5" x14ac:dyDescent="0.25">
      <c r="A28" s="10" t="s">
        <v>107</v>
      </c>
      <c r="B28" s="17">
        <v>1.5396358920333333</v>
      </c>
      <c r="C28" s="17">
        <v>1.5396358920333333</v>
      </c>
      <c r="D28" s="17">
        <v>1.5396358920333333</v>
      </c>
    </row>
    <row r="29" spans="1:5" x14ac:dyDescent="0.25">
      <c r="A29" s="10" t="s">
        <v>14</v>
      </c>
      <c r="B29" s="9">
        <v>642</v>
      </c>
      <c r="C29" s="9"/>
      <c r="D29" s="9"/>
    </row>
    <row r="30" spans="1:5" x14ac:dyDescent="0.25">
      <c r="A30" s="11"/>
      <c r="B30" s="11"/>
      <c r="C30" s="11"/>
      <c r="D30" s="11"/>
    </row>
    <row r="31" spans="1:5" x14ac:dyDescent="0.25">
      <c r="A31" s="12" t="s">
        <v>15</v>
      </c>
      <c r="B31" s="11"/>
      <c r="C31" s="11"/>
      <c r="D31" s="11"/>
    </row>
    <row r="32" spans="1:5" x14ac:dyDescent="0.25">
      <c r="A32" s="11" t="s">
        <v>16</v>
      </c>
      <c r="B32" s="9">
        <f>B16/B27</f>
        <v>161295498.36091411</v>
      </c>
      <c r="C32" s="9">
        <f>C16/C27</f>
        <v>156570853.48027891</v>
      </c>
      <c r="D32" s="9">
        <f>D16/D27</f>
        <v>4724644.8806351963</v>
      </c>
    </row>
    <row r="33" spans="1:8" x14ac:dyDescent="0.25">
      <c r="A33" s="11" t="s">
        <v>108</v>
      </c>
      <c r="B33" s="9">
        <f>B18/B28</f>
        <v>170819608.29886007</v>
      </c>
      <c r="C33" s="9">
        <f>C18/C28</f>
        <v>170819608.29886007</v>
      </c>
      <c r="D33" s="9">
        <f>D18/D28</f>
        <v>0</v>
      </c>
    </row>
    <row r="34" spans="1:8" x14ac:dyDescent="0.25">
      <c r="A34" s="11" t="s">
        <v>17</v>
      </c>
      <c r="B34" s="9">
        <f>B32/B10</f>
        <v>779205.30609137251</v>
      </c>
      <c r="C34" s="9">
        <f t="shared" ref="C34" si="1">C32/C10</f>
        <v>756380.93468733772</v>
      </c>
      <c r="D34" s="9"/>
    </row>
    <row r="35" spans="1:8" x14ac:dyDescent="0.25">
      <c r="A35" s="11" t="s">
        <v>109</v>
      </c>
      <c r="B35" s="9">
        <f>B33/B12</f>
        <v>894343.49894691142</v>
      </c>
      <c r="C35" s="9">
        <f>C33/C12</f>
        <v>894343.49894691142</v>
      </c>
      <c r="D35" s="9"/>
    </row>
    <row r="37" spans="1:8" x14ac:dyDescent="0.25">
      <c r="A37" s="3" t="s">
        <v>18</v>
      </c>
    </row>
    <row r="39" spans="1:8" x14ac:dyDescent="0.25">
      <c r="A39" t="s">
        <v>19</v>
      </c>
    </row>
    <row r="40" spans="1:8" x14ac:dyDescent="0.25">
      <c r="A40" t="s">
        <v>20</v>
      </c>
      <c r="B40" s="15">
        <f>(B11*100)/(B29)</f>
        <v>23.364485981308412</v>
      </c>
      <c r="C40" s="15" t="e">
        <f>(C11*100)/(C29)</f>
        <v>#DIV/0!</v>
      </c>
      <c r="D40" s="13"/>
      <c r="E40" s="11"/>
      <c r="F40" s="11"/>
      <c r="G40" s="11"/>
      <c r="H40" s="11"/>
    </row>
    <row r="41" spans="1:8" x14ac:dyDescent="0.25">
      <c r="A41" t="s">
        <v>21</v>
      </c>
      <c r="B41" s="15">
        <f>(B12*100)/(B29)</f>
        <v>29.750778816199379</v>
      </c>
      <c r="C41" s="15" t="e">
        <f>(C12*100)/(C29)</f>
        <v>#DIV/0!</v>
      </c>
      <c r="D41" s="13"/>
    </row>
    <row r="43" spans="1:8" x14ac:dyDescent="0.25">
      <c r="A43" t="s">
        <v>22</v>
      </c>
    </row>
    <row r="44" spans="1:8" x14ac:dyDescent="0.25">
      <c r="A44" t="s">
        <v>23</v>
      </c>
      <c r="B44" s="14">
        <f>B12/B11*100</f>
        <v>127.33333333333334</v>
      </c>
      <c r="C44" s="14">
        <f>C12/C11*100</f>
        <v>127.33333333333334</v>
      </c>
      <c r="D44" s="14"/>
    </row>
    <row r="45" spans="1:8" x14ac:dyDescent="0.25">
      <c r="A45" t="s">
        <v>24</v>
      </c>
      <c r="B45" s="14">
        <f>B18/B17*100</f>
        <v>97.302896884927193</v>
      </c>
      <c r="C45" s="14">
        <f>C18/C17*100</f>
        <v>119.3880793499478</v>
      </c>
      <c r="D45" s="14">
        <f>D18/D17*100</f>
        <v>0</v>
      </c>
    </row>
    <row r="46" spans="1:8" x14ac:dyDescent="0.25">
      <c r="A46" s="11" t="s">
        <v>25</v>
      </c>
      <c r="B46" s="13">
        <f>AVERAGE(B44:B45)</f>
        <v>112.31811510913028</v>
      </c>
      <c r="C46" s="13">
        <f>AVERAGE(C44:C45)</f>
        <v>123.36070634164057</v>
      </c>
      <c r="D46" s="13"/>
    </row>
    <row r="47" spans="1:8" x14ac:dyDescent="0.25">
      <c r="A47" s="11"/>
      <c r="B47" s="13"/>
      <c r="C47" s="13"/>
      <c r="D47" s="13"/>
    </row>
    <row r="48" spans="1:8" x14ac:dyDescent="0.25">
      <c r="A48" s="11" t="s">
        <v>26</v>
      </c>
      <c r="B48" s="11"/>
      <c r="C48" s="11"/>
      <c r="D48" s="11"/>
    </row>
    <row r="49" spans="1:4" x14ac:dyDescent="0.25">
      <c r="A49" s="11" t="s">
        <v>27</v>
      </c>
      <c r="B49" s="13">
        <f>B12/(B13*4)*100</f>
        <v>2.6527777777777777</v>
      </c>
      <c r="C49" s="13">
        <f>C12/(C13*4)*100</f>
        <v>2.6527777777777777</v>
      </c>
      <c r="D49" s="13"/>
    </row>
    <row r="50" spans="1:4" x14ac:dyDescent="0.25">
      <c r="A50" s="11" t="s">
        <v>28</v>
      </c>
      <c r="B50" s="13">
        <f>B18/B19*100</f>
        <v>24.32569726757804</v>
      </c>
      <c r="C50" s="13">
        <f>C18/C19*100</f>
        <v>29.846979258385364</v>
      </c>
      <c r="D50" s="13">
        <f>D18/D19*100</f>
        <v>0</v>
      </c>
    </row>
    <row r="51" spans="1:4" x14ac:dyDescent="0.25">
      <c r="A51" s="11" t="s">
        <v>29</v>
      </c>
      <c r="B51" s="13">
        <f>(B49+B50)/2</f>
        <v>13.489237522677909</v>
      </c>
      <c r="C51" s="13">
        <f>(C49+C50)/2</f>
        <v>16.249878518081569</v>
      </c>
      <c r="D51" s="13"/>
    </row>
    <row r="52" spans="1:4" x14ac:dyDescent="0.25">
      <c r="A52" s="11"/>
      <c r="B52" s="11"/>
      <c r="C52" s="11"/>
      <c r="D52" s="11"/>
    </row>
    <row r="53" spans="1:4" x14ac:dyDescent="0.25">
      <c r="A53" s="11" t="s">
        <v>71</v>
      </c>
      <c r="B53" s="11"/>
      <c r="C53" s="11"/>
      <c r="D53" s="11"/>
    </row>
    <row r="54" spans="1:4" x14ac:dyDescent="0.25">
      <c r="A54" s="11" t="s">
        <v>30</v>
      </c>
      <c r="B54" s="15">
        <f>B20/B18</f>
        <v>0</v>
      </c>
      <c r="C54" s="13"/>
      <c r="D54" s="13"/>
    </row>
    <row r="55" spans="1:4" x14ac:dyDescent="0.25">
      <c r="A55" s="11"/>
      <c r="B55" s="11"/>
      <c r="C55" s="11"/>
      <c r="D55" s="11"/>
    </row>
    <row r="56" spans="1:4" x14ac:dyDescent="0.25">
      <c r="A56" s="11" t="s">
        <v>31</v>
      </c>
      <c r="B56" s="11"/>
      <c r="C56" s="11"/>
      <c r="D56" s="11"/>
    </row>
    <row r="57" spans="1:4" x14ac:dyDescent="0.25">
      <c r="A57" s="11" t="s">
        <v>32</v>
      </c>
      <c r="B57" s="14">
        <f>((B12/B10)-1)*100</f>
        <v>-7.729468599033817</v>
      </c>
      <c r="C57" s="14"/>
      <c r="D57" s="13"/>
    </row>
    <row r="58" spans="1:4" x14ac:dyDescent="0.25">
      <c r="A58" s="11" t="s">
        <v>33</v>
      </c>
      <c r="B58" s="14">
        <f>((B33/B32)-1)*100</f>
        <v>5.9047586787790207</v>
      </c>
      <c r="C58" s="14">
        <f>((C33/C32)-1)*100</f>
        <v>9.1005155186024922</v>
      </c>
      <c r="D58" s="13"/>
    </row>
    <row r="59" spans="1:4" x14ac:dyDescent="0.25">
      <c r="A59" s="11" t="s">
        <v>34</v>
      </c>
      <c r="B59" s="14">
        <f>((B35/B34)-1)*100</f>
        <v>14.776361500038004</v>
      </c>
      <c r="C59" s="14">
        <f>((C35/C34)-1)*100</f>
        <v>18.239825719113711</v>
      </c>
      <c r="D59" s="13"/>
    </row>
    <row r="60" spans="1:4" x14ac:dyDescent="0.25">
      <c r="A60" s="11"/>
      <c r="B60" s="13"/>
      <c r="C60" s="13"/>
      <c r="D60" s="13"/>
    </row>
    <row r="61" spans="1:4" x14ac:dyDescent="0.25">
      <c r="A61" s="11" t="s">
        <v>35</v>
      </c>
      <c r="B61" s="11"/>
      <c r="C61" s="11"/>
      <c r="D61" s="11"/>
    </row>
    <row r="62" spans="1:4" x14ac:dyDescent="0.25">
      <c r="A62" t="s">
        <v>75</v>
      </c>
      <c r="B62" s="9">
        <f>B17/(B11*3)</f>
        <v>600644.44446666667</v>
      </c>
      <c r="C62" s="9">
        <f>C17/(C11*3)</f>
        <v>489533.33333333331</v>
      </c>
      <c r="D62" s="9"/>
    </row>
    <row r="63" spans="1:4" x14ac:dyDescent="0.25">
      <c r="A63" t="s">
        <v>76</v>
      </c>
      <c r="B63" s="9">
        <f>B18/(B12*3)</f>
        <v>458987.78359511343</v>
      </c>
      <c r="C63" s="9">
        <f>C18/(C12*3)</f>
        <v>458987.78359511343</v>
      </c>
      <c r="D63" s="9"/>
    </row>
    <row r="64" spans="1:4" x14ac:dyDescent="0.25">
      <c r="A64" s="11" t="s">
        <v>36</v>
      </c>
      <c r="B64" s="9">
        <f>(B62/B63)*B46</f>
        <v>146.98267418981675</v>
      </c>
      <c r="C64" s="9">
        <f>(C62/C63)*C46</f>
        <v>131.57033789607098</v>
      </c>
      <c r="D64" s="13"/>
    </row>
    <row r="65" spans="1:4" x14ac:dyDescent="0.25">
      <c r="A65" s="13" t="s">
        <v>77</v>
      </c>
      <c r="B65" s="9">
        <f>B17/B11</f>
        <v>1801933.3333999999</v>
      </c>
      <c r="C65" s="9">
        <f>C17/C11</f>
        <v>1468600</v>
      </c>
      <c r="D65" s="13"/>
    </row>
    <row r="66" spans="1:4" x14ac:dyDescent="0.25">
      <c r="A66" s="13" t="s">
        <v>78</v>
      </c>
      <c r="B66" s="9">
        <f>B18/B12</f>
        <v>1376963.3507853404</v>
      </c>
      <c r="C66" s="9">
        <f>C18/C12</f>
        <v>1376963.3507853404</v>
      </c>
      <c r="D66" s="13"/>
    </row>
    <row r="67" spans="1:4" x14ac:dyDescent="0.25">
      <c r="B67" s="9"/>
      <c r="C67" s="9"/>
      <c r="D67" s="14"/>
    </row>
    <row r="68" spans="1:4" x14ac:dyDescent="0.25">
      <c r="A68" t="s">
        <v>37</v>
      </c>
      <c r="B68" s="14"/>
      <c r="C68" s="14"/>
      <c r="D68" s="14"/>
    </row>
    <row r="69" spans="1:4" x14ac:dyDescent="0.25">
      <c r="A69" s="11" t="s">
        <v>38</v>
      </c>
      <c r="B69" s="13">
        <f>(B24/B23)*100</f>
        <v>103.34774796317483</v>
      </c>
      <c r="C69" s="13"/>
      <c r="D69" s="13"/>
    </row>
    <row r="70" spans="1:4" x14ac:dyDescent="0.25">
      <c r="A70" s="11" t="s">
        <v>39</v>
      </c>
      <c r="B70" s="13">
        <f>(B18/B24)*100</f>
        <v>94.150960037947257</v>
      </c>
      <c r="C70" s="13"/>
      <c r="D70" s="13"/>
    </row>
    <row r="71" spans="1:4" ht="15.75" thickBot="1" x14ac:dyDescent="0.3">
      <c r="A71" s="16"/>
      <c r="B71" s="16"/>
      <c r="C71" s="16"/>
      <c r="D71" s="16"/>
    </row>
    <row r="72" spans="1:4" ht="15.75" thickTop="1" x14ac:dyDescent="0.25"/>
    <row r="73" spans="1:4" x14ac:dyDescent="0.25">
      <c r="A73" t="s">
        <v>40</v>
      </c>
    </row>
    <row r="74" spans="1:4" x14ac:dyDescent="0.25">
      <c r="A74" t="s">
        <v>150</v>
      </c>
    </row>
    <row r="75" spans="1:4" x14ac:dyDescent="0.25">
      <c r="A75" t="s">
        <v>92</v>
      </c>
      <c r="B75" s="5"/>
      <c r="C75" s="5"/>
      <c r="D75" s="5"/>
    </row>
    <row r="78" spans="1:4" x14ac:dyDescent="0.25">
      <c r="A78" t="s">
        <v>72</v>
      </c>
    </row>
    <row r="79" spans="1:4" x14ac:dyDescent="0.25">
      <c r="A79" s="21" t="s">
        <v>80</v>
      </c>
    </row>
    <row r="80" spans="1:4" x14ac:dyDescent="0.25">
      <c r="A80" s="22" t="s">
        <v>73</v>
      </c>
    </row>
    <row r="81" spans="1:1" x14ac:dyDescent="0.25">
      <c r="A81" s="22" t="s">
        <v>74</v>
      </c>
    </row>
  </sheetData>
  <mergeCells count="2">
    <mergeCell ref="A2:D2"/>
    <mergeCell ref="A4:A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1"/>
  <sheetViews>
    <sheetView topLeftCell="A43" workbookViewId="0">
      <selection activeCell="A77" sqref="A77"/>
    </sheetView>
  </sheetViews>
  <sheetFormatPr baseColWidth="10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2.7109375" bestFit="1" customWidth="1"/>
  </cols>
  <sheetData>
    <row r="2" spans="1:5" ht="15.75" x14ac:dyDescent="0.25">
      <c r="A2" s="26" t="s">
        <v>110</v>
      </c>
      <c r="B2" s="26"/>
      <c r="C2" s="26"/>
      <c r="D2" s="26"/>
    </row>
    <row r="4" spans="1:5" x14ac:dyDescent="0.25">
      <c r="A4" s="27" t="s">
        <v>0</v>
      </c>
      <c r="B4" s="1" t="s">
        <v>1</v>
      </c>
      <c r="C4" s="18" t="s">
        <v>2</v>
      </c>
      <c r="D4" s="1" t="s">
        <v>5</v>
      </c>
      <c r="E4" s="1" t="s">
        <v>147</v>
      </c>
    </row>
    <row r="5" spans="1:5" ht="15.75" thickBot="1" x14ac:dyDescent="0.3">
      <c r="A5" s="28"/>
      <c r="B5" s="2" t="s">
        <v>3</v>
      </c>
      <c r="C5" s="2" t="s">
        <v>4</v>
      </c>
      <c r="D5" s="2" t="s">
        <v>79</v>
      </c>
      <c r="E5" s="2" t="s">
        <v>148</v>
      </c>
    </row>
    <row r="6" spans="1:5" ht="15.75" thickTop="1" x14ac:dyDescent="0.25"/>
    <row r="7" spans="1:5" x14ac:dyDescent="0.25">
      <c r="A7" s="3" t="s">
        <v>6</v>
      </c>
    </row>
    <row r="9" spans="1:5" x14ac:dyDescent="0.25">
      <c r="A9" t="s">
        <v>7</v>
      </c>
    </row>
    <row r="10" spans="1:5" x14ac:dyDescent="0.25">
      <c r="A10" s="4" t="s">
        <v>51</v>
      </c>
      <c r="B10" s="7">
        <f>C10</f>
        <v>208</v>
      </c>
      <c r="C10" s="7">
        <v>208</v>
      </c>
      <c r="D10" s="5"/>
    </row>
    <row r="11" spans="1:5" x14ac:dyDescent="0.25">
      <c r="A11" s="4" t="s">
        <v>111</v>
      </c>
      <c r="B11" s="7">
        <f>C11</f>
        <v>150</v>
      </c>
      <c r="C11" s="7">
        <v>150</v>
      </c>
      <c r="D11" s="5"/>
    </row>
    <row r="12" spans="1:5" x14ac:dyDescent="0.25">
      <c r="A12" s="4" t="s">
        <v>112</v>
      </c>
      <c r="B12" s="7">
        <f>C12</f>
        <v>185</v>
      </c>
      <c r="C12" s="7">
        <v>185</v>
      </c>
      <c r="D12" s="5"/>
    </row>
    <row r="13" spans="1:5" x14ac:dyDescent="0.25">
      <c r="A13" s="4" t="s">
        <v>85</v>
      </c>
      <c r="B13" s="7">
        <f>C13</f>
        <v>1800</v>
      </c>
      <c r="C13" s="7">
        <v>1800</v>
      </c>
      <c r="D13" s="5"/>
    </row>
    <row r="14" spans="1:5" x14ac:dyDescent="0.25">
      <c r="B14" s="5"/>
      <c r="C14" s="5"/>
      <c r="D14" s="5"/>
    </row>
    <row r="15" spans="1:5" x14ac:dyDescent="0.25">
      <c r="A15" s="6" t="s">
        <v>9</v>
      </c>
      <c r="B15" s="5"/>
      <c r="C15" s="5"/>
      <c r="D15" s="5"/>
    </row>
    <row r="16" spans="1:5" x14ac:dyDescent="0.25">
      <c r="A16" s="4" t="s">
        <v>52</v>
      </c>
      <c r="B16" s="7">
        <f>SUM(C16:D16)</f>
        <v>442055233</v>
      </c>
      <c r="C16" s="9">
        <v>304567783</v>
      </c>
      <c r="D16" s="9">
        <v>137487450</v>
      </c>
    </row>
    <row r="17" spans="1:5" x14ac:dyDescent="0.25">
      <c r="A17" s="4" t="s">
        <v>113</v>
      </c>
      <c r="B17" s="7">
        <f>SUM(C17:E17)</f>
        <v>270290000.00999999</v>
      </c>
      <c r="C17" s="24">
        <f>881160000/4</f>
        <v>220290000</v>
      </c>
      <c r="D17" s="7">
        <f>12500000*3</f>
        <v>37500000</v>
      </c>
      <c r="E17" s="24">
        <f>4166666.67*3</f>
        <v>12500000.01</v>
      </c>
    </row>
    <row r="18" spans="1:5" x14ac:dyDescent="0.25">
      <c r="A18" s="4" t="s">
        <v>114</v>
      </c>
      <c r="B18" s="7">
        <f t="shared" ref="B18:B19" si="0">SUM(C18:E18)</f>
        <v>0</v>
      </c>
      <c r="C18" s="9"/>
      <c r="D18" s="9"/>
    </row>
    <row r="19" spans="1:5" x14ac:dyDescent="0.25">
      <c r="A19" s="4" t="s">
        <v>85</v>
      </c>
      <c r="B19" s="7">
        <f t="shared" si="0"/>
        <v>1081161198</v>
      </c>
      <c r="C19" s="24">
        <v>881161198</v>
      </c>
      <c r="D19" s="7">
        <v>150000000</v>
      </c>
      <c r="E19" s="7">
        <v>50000000</v>
      </c>
    </row>
    <row r="20" spans="1:5" x14ac:dyDescent="0.25">
      <c r="A20" s="4" t="s">
        <v>115</v>
      </c>
      <c r="B20" s="7">
        <f>C20</f>
        <v>0</v>
      </c>
      <c r="C20" s="7"/>
      <c r="D20" s="7"/>
    </row>
    <row r="21" spans="1:5" x14ac:dyDescent="0.25">
      <c r="B21" s="7"/>
      <c r="C21" s="7"/>
      <c r="D21" s="7"/>
    </row>
    <row r="22" spans="1:5" x14ac:dyDescent="0.25">
      <c r="A22" s="8" t="s">
        <v>11</v>
      </c>
      <c r="B22" s="9"/>
      <c r="C22" s="9"/>
      <c r="D22" s="9"/>
    </row>
    <row r="23" spans="1:5" x14ac:dyDescent="0.25">
      <c r="A23" s="10" t="s">
        <v>111</v>
      </c>
      <c r="B23" s="9">
        <f>B17</f>
        <v>270290000.00999999</v>
      </c>
      <c r="C23" s="9"/>
      <c r="D23" s="9"/>
    </row>
    <row r="24" spans="1:5" x14ac:dyDescent="0.25">
      <c r="A24" s="10" t="s">
        <v>112</v>
      </c>
      <c r="B24" s="9"/>
      <c r="C24" s="9"/>
      <c r="D24" s="9"/>
    </row>
    <row r="25" spans="1:5" x14ac:dyDescent="0.25">
      <c r="A25" s="11"/>
      <c r="B25" s="11"/>
      <c r="C25" s="11"/>
      <c r="D25" s="11"/>
    </row>
    <row r="26" spans="1:5" x14ac:dyDescent="0.25">
      <c r="A26" s="11" t="s">
        <v>12</v>
      </c>
      <c r="B26" s="11"/>
      <c r="C26" s="11"/>
      <c r="D26" s="11"/>
    </row>
    <row r="27" spans="1:5" x14ac:dyDescent="0.25">
      <c r="A27" s="10" t="s">
        <v>53</v>
      </c>
      <c r="B27" s="17">
        <v>1.4880743485666665</v>
      </c>
      <c r="C27" s="17">
        <v>1.4880743485666665</v>
      </c>
      <c r="D27" s="17">
        <v>1.4880743485666665</v>
      </c>
    </row>
    <row r="28" spans="1:5" x14ac:dyDescent="0.25">
      <c r="A28" s="10" t="s">
        <v>116</v>
      </c>
      <c r="B28" s="17">
        <v>1.56</v>
      </c>
      <c r="C28" s="17">
        <v>1.56</v>
      </c>
      <c r="D28" s="17">
        <v>1.56</v>
      </c>
    </row>
    <row r="29" spans="1:5" x14ac:dyDescent="0.25">
      <c r="A29" s="10" t="s">
        <v>14</v>
      </c>
      <c r="B29" s="9">
        <v>642</v>
      </c>
      <c r="C29" s="9"/>
      <c r="D29" s="9"/>
    </row>
    <row r="30" spans="1:5" x14ac:dyDescent="0.25">
      <c r="A30" s="11"/>
      <c r="B30" s="11"/>
      <c r="C30" s="11"/>
      <c r="D30" s="11"/>
    </row>
    <row r="31" spans="1:5" x14ac:dyDescent="0.25">
      <c r="A31" s="12" t="s">
        <v>15</v>
      </c>
      <c r="B31" s="11"/>
      <c r="C31" s="11"/>
      <c r="D31" s="11"/>
    </row>
    <row r="32" spans="1:5" x14ac:dyDescent="0.25">
      <c r="A32" s="11" t="s">
        <v>54</v>
      </c>
      <c r="B32" s="9">
        <f>B16/B27</f>
        <v>297065286.70814979</v>
      </c>
      <c r="C32" s="9">
        <f>C16/C27</f>
        <v>204672423.31901214</v>
      </c>
      <c r="D32" s="9">
        <f>D16/D27</f>
        <v>92392863.389137641</v>
      </c>
    </row>
    <row r="33" spans="1:8" x14ac:dyDescent="0.25">
      <c r="A33" s="11" t="s">
        <v>117</v>
      </c>
      <c r="B33" s="9">
        <f>B18/B28</f>
        <v>0</v>
      </c>
      <c r="C33" s="9">
        <f>C18/C28</f>
        <v>0</v>
      </c>
      <c r="D33" s="9">
        <f>D18/D28</f>
        <v>0</v>
      </c>
    </row>
    <row r="34" spans="1:8" x14ac:dyDescent="0.25">
      <c r="A34" s="11" t="s">
        <v>55</v>
      </c>
      <c r="B34" s="9">
        <f>B32/B10</f>
        <v>1428198.4937891816</v>
      </c>
      <c r="C34" s="9">
        <f t="shared" ref="C34" si="1">C32/C10</f>
        <v>984002.03518755839</v>
      </c>
      <c r="D34" s="9"/>
    </row>
    <row r="35" spans="1:8" x14ac:dyDescent="0.25">
      <c r="A35" s="11" t="s">
        <v>118</v>
      </c>
      <c r="B35" s="9">
        <f>B33/B12</f>
        <v>0</v>
      </c>
      <c r="C35" s="9">
        <f>C33/C12</f>
        <v>0</v>
      </c>
      <c r="D35" s="9"/>
    </row>
    <row r="37" spans="1:8" x14ac:dyDescent="0.25">
      <c r="A37" s="3" t="s">
        <v>18</v>
      </c>
    </row>
    <row r="39" spans="1:8" x14ac:dyDescent="0.25">
      <c r="A39" t="s">
        <v>19</v>
      </c>
    </row>
    <row r="40" spans="1:8" x14ac:dyDescent="0.25">
      <c r="A40" t="s">
        <v>20</v>
      </c>
      <c r="B40" s="15">
        <f>(B11*100)/(B29)</f>
        <v>23.364485981308412</v>
      </c>
      <c r="C40" s="15" t="e">
        <f>(C11*100)/(C29)</f>
        <v>#DIV/0!</v>
      </c>
      <c r="D40" s="13"/>
      <c r="E40" s="11"/>
      <c r="F40" s="11"/>
      <c r="G40" s="11"/>
      <c r="H40" s="11"/>
    </row>
    <row r="41" spans="1:8" x14ac:dyDescent="0.25">
      <c r="A41" t="s">
        <v>21</v>
      </c>
      <c r="B41" s="15">
        <f>(B12*100)/(B29)</f>
        <v>28.81619937694704</v>
      </c>
      <c r="C41" s="15" t="e">
        <f>(C12*100)/(C29)</f>
        <v>#DIV/0!</v>
      </c>
      <c r="D41" s="13"/>
    </row>
    <row r="43" spans="1:8" x14ac:dyDescent="0.25">
      <c r="A43" t="s">
        <v>22</v>
      </c>
    </row>
    <row r="44" spans="1:8" x14ac:dyDescent="0.25">
      <c r="A44" t="s">
        <v>23</v>
      </c>
      <c r="B44" s="14">
        <f>B12/B11*100</f>
        <v>123.33333333333334</v>
      </c>
      <c r="C44" s="14">
        <f>C12/C11*100</f>
        <v>123.33333333333334</v>
      </c>
      <c r="D44" s="14"/>
    </row>
    <row r="45" spans="1:8" x14ac:dyDescent="0.25">
      <c r="A45" t="s">
        <v>24</v>
      </c>
      <c r="B45" s="14">
        <f>B18/B17*100</f>
        <v>0</v>
      </c>
      <c r="C45" s="14">
        <f>C18/C17*100</f>
        <v>0</v>
      </c>
      <c r="D45" s="14">
        <f>D18/D17*100</f>
        <v>0</v>
      </c>
    </row>
    <row r="46" spans="1:8" x14ac:dyDescent="0.25">
      <c r="A46" s="11" t="s">
        <v>25</v>
      </c>
      <c r="B46" s="13">
        <f>AVERAGE(B44:B45)</f>
        <v>61.666666666666671</v>
      </c>
      <c r="C46" s="13">
        <f>AVERAGE(C44:C45)</f>
        <v>61.666666666666671</v>
      </c>
      <c r="D46" s="13"/>
    </row>
    <row r="47" spans="1:8" x14ac:dyDescent="0.25">
      <c r="A47" s="11"/>
      <c r="B47" s="13"/>
      <c r="C47" s="13"/>
      <c r="D47" s="13"/>
    </row>
    <row r="48" spans="1:8" x14ac:dyDescent="0.25">
      <c r="A48" s="11" t="s">
        <v>26</v>
      </c>
      <c r="B48" s="11"/>
      <c r="C48" s="11"/>
      <c r="D48" s="11"/>
    </row>
    <row r="49" spans="1:4" x14ac:dyDescent="0.25">
      <c r="A49" s="11" t="s">
        <v>27</v>
      </c>
      <c r="B49" s="13">
        <f>B12/(B13*4)*100</f>
        <v>2.5694444444444442</v>
      </c>
      <c r="C49" s="13">
        <f>C12/(C13*4)*100</f>
        <v>2.5694444444444442</v>
      </c>
      <c r="D49" s="13"/>
    </row>
    <row r="50" spans="1:4" x14ac:dyDescent="0.25">
      <c r="A50" s="11" t="s">
        <v>28</v>
      </c>
      <c r="B50" s="13">
        <f>B18/B19*100</f>
        <v>0</v>
      </c>
      <c r="C50" s="13">
        <f>C18/C19*100</f>
        <v>0</v>
      </c>
      <c r="D50" s="13">
        <f>D18/D19*100</f>
        <v>0</v>
      </c>
    </row>
    <row r="51" spans="1:4" x14ac:dyDescent="0.25">
      <c r="A51" s="11" t="s">
        <v>29</v>
      </c>
      <c r="B51" s="13">
        <f>(B49+B50)/2</f>
        <v>1.2847222222222221</v>
      </c>
      <c r="C51" s="13">
        <f>(C49+C50)/2</f>
        <v>1.2847222222222221</v>
      </c>
      <c r="D51" s="13"/>
    </row>
    <row r="52" spans="1:4" x14ac:dyDescent="0.25">
      <c r="A52" s="11"/>
      <c r="B52" s="11"/>
      <c r="C52" s="11"/>
      <c r="D52" s="11"/>
    </row>
    <row r="53" spans="1:4" x14ac:dyDescent="0.25">
      <c r="A53" s="11" t="s">
        <v>71</v>
      </c>
      <c r="B53" s="11"/>
      <c r="C53" s="11"/>
      <c r="D53" s="11"/>
    </row>
    <row r="54" spans="1:4" x14ac:dyDescent="0.25">
      <c r="A54" s="11" t="s">
        <v>30</v>
      </c>
      <c r="B54" s="15" t="e">
        <f>B20/B18</f>
        <v>#DIV/0!</v>
      </c>
      <c r="C54" s="13"/>
      <c r="D54" s="13"/>
    </row>
    <row r="55" spans="1:4" x14ac:dyDescent="0.25">
      <c r="A55" s="11"/>
      <c r="B55" s="11"/>
      <c r="C55" s="11"/>
      <c r="D55" s="11"/>
    </row>
    <row r="56" spans="1:4" x14ac:dyDescent="0.25">
      <c r="A56" s="11" t="s">
        <v>31</v>
      </c>
      <c r="B56" s="11"/>
      <c r="C56" s="11"/>
      <c r="D56" s="11"/>
    </row>
    <row r="57" spans="1:4" x14ac:dyDescent="0.25">
      <c r="A57" s="11" t="s">
        <v>32</v>
      </c>
      <c r="B57" s="14">
        <f>((B12/B10)-1)*100</f>
        <v>-11.057692307692314</v>
      </c>
      <c r="C57" s="14"/>
      <c r="D57" s="13"/>
    </row>
    <row r="58" spans="1:4" x14ac:dyDescent="0.25">
      <c r="A58" s="11" t="s">
        <v>33</v>
      </c>
      <c r="B58" s="14">
        <f>((B33/B32)-1)*100</f>
        <v>-100</v>
      </c>
      <c r="C58" s="14">
        <f>((C33/C32)-1)*100</f>
        <v>-100</v>
      </c>
      <c r="D58" s="13"/>
    </row>
    <row r="59" spans="1:4" x14ac:dyDescent="0.25">
      <c r="A59" s="11" t="s">
        <v>34</v>
      </c>
      <c r="B59" s="14">
        <f>((B35/B34)-1)*100</f>
        <v>-100</v>
      </c>
      <c r="C59" s="14">
        <f>((C35/C34)-1)*100</f>
        <v>-100</v>
      </c>
      <c r="D59" s="13"/>
    </row>
    <row r="60" spans="1:4" x14ac:dyDescent="0.25">
      <c r="A60" s="11"/>
      <c r="B60" s="13"/>
      <c r="C60" s="13"/>
      <c r="D60" s="13"/>
    </row>
    <row r="61" spans="1:4" x14ac:dyDescent="0.25">
      <c r="A61" s="11" t="s">
        <v>35</v>
      </c>
      <c r="B61" s="11"/>
      <c r="C61" s="11"/>
      <c r="D61" s="11"/>
    </row>
    <row r="62" spans="1:4" x14ac:dyDescent="0.25">
      <c r="A62" t="s">
        <v>75</v>
      </c>
      <c r="B62" s="9">
        <f>B17/(B11*3)</f>
        <v>600644.44446666667</v>
      </c>
      <c r="C62" s="9">
        <f>C17/(C11*3)</f>
        <v>489533.33333333331</v>
      </c>
      <c r="D62" s="9"/>
    </row>
    <row r="63" spans="1:4" x14ac:dyDescent="0.25">
      <c r="A63" t="s">
        <v>76</v>
      </c>
      <c r="B63" s="9">
        <f>B18/(B12*3)</f>
        <v>0</v>
      </c>
      <c r="C63" s="9">
        <f>C18/(C12*3)</f>
        <v>0</v>
      </c>
      <c r="D63" s="9"/>
    </row>
    <row r="64" spans="1:4" x14ac:dyDescent="0.25">
      <c r="A64" s="11" t="s">
        <v>36</v>
      </c>
      <c r="B64" s="9" t="e">
        <f>(B62/B63)*B46</f>
        <v>#DIV/0!</v>
      </c>
      <c r="C64" s="9" t="e">
        <f>(C62/C63)*C46</f>
        <v>#DIV/0!</v>
      </c>
      <c r="D64" s="13"/>
    </row>
    <row r="65" spans="1:4" x14ac:dyDescent="0.25">
      <c r="A65" s="13" t="s">
        <v>77</v>
      </c>
      <c r="B65" s="9">
        <f>B17/B11</f>
        <v>1801933.3333999999</v>
      </c>
      <c r="C65" s="9">
        <f>C17/C11</f>
        <v>1468600</v>
      </c>
      <c r="D65" s="13"/>
    </row>
    <row r="66" spans="1:4" x14ac:dyDescent="0.25">
      <c r="A66" s="13" t="s">
        <v>78</v>
      </c>
      <c r="B66" s="9">
        <f>B18/B12</f>
        <v>0</v>
      </c>
      <c r="C66" s="9">
        <f>C18/C12</f>
        <v>0</v>
      </c>
      <c r="D66" s="13"/>
    </row>
    <row r="67" spans="1:4" x14ac:dyDescent="0.25">
      <c r="B67" s="9"/>
      <c r="C67" s="9"/>
      <c r="D67" s="14"/>
    </row>
    <row r="68" spans="1:4" x14ac:dyDescent="0.25">
      <c r="A68" t="s">
        <v>37</v>
      </c>
      <c r="B68" s="14"/>
      <c r="C68" s="14"/>
      <c r="D68" s="14"/>
    </row>
    <row r="69" spans="1:4" x14ac:dyDescent="0.25">
      <c r="A69" s="11" t="s">
        <v>38</v>
      </c>
      <c r="B69" s="13">
        <f>(B24/B23)*100</f>
        <v>0</v>
      </c>
      <c r="C69" s="13"/>
      <c r="D69" s="13"/>
    </row>
    <row r="70" spans="1:4" x14ac:dyDescent="0.25">
      <c r="A70" s="11" t="s">
        <v>39</v>
      </c>
      <c r="B70" s="13" t="e">
        <f>(B18/B24)*100</f>
        <v>#DIV/0!</v>
      </c>
      <c r="C70" s="13"/>
      <c r="D70" s="13"/>
    </row>
    <row r="71" spans="1:4" ht="15.75" thickBot="1" x14ac:dyDescent="0.3">
      <c r="A71" s="16"/>
      <c r="B71" s="16"/>
      <c r="C71" s="16"/>
      <c r="D71" s="16"/>
    </row>
    <row r="72" spans="1:4" ht="15.75" thickTop="1" x14ac:dyDescent="0.25"/>
    <row r="73" spans="1:4" x14ac:dyDescent="0.25">
      <c r="A73" t="s">
        <v>40</v>
      </c>
    </row>
    <row r="74" spans="1:4" x14ac:dyDescent="0.25">
      <c r="A74" t="s">
        <v>150</v>
      </c>
    </row>
    <row r="75" spans="1:4" x14ac:dyDescent="0.25">
      <c r="A75" t="s">
        <v>92</v>
      </c>
      <c r="B75" s="5"/>
      <c r="C75" s="5"/>
      <c r="D75" s="5"/>
    </row>
    <row r="78" spans="1:4" x14ac:dyDescent="0.25">
      <c r="A78" t="s">
        <v>72</v>
      </c>
    </row>
    <row r="79" spans="1:4" x14ac:dyDescent="0.25">
      <c r="A79" s="21" t="s">
        <v>80</v>
      </c>
    </row>
    <row r="80" spans="1:4" x14ac:dyDescent="0.25">
      <c r="A80" s="22" t="s">
        <v>73</v>
      </c>
    </row>
    <row r="81" spans="1:1" x14ac:dyDescent="0.25">
      <c r="A81" s="22" t="s">
        <v>74</v>
      </c>
    </row>
  </sheetData>
  <mergeCells count="2">
    <mergeCell ref="A2:D2"/>
    <mergeCell ref="A4:A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1"/>
  <sheetViews>
    <sheetView workbookViewId="0">
      <selection activeCell="A76" sqref="A76"/>
    </sheetView>
  </sheetViews>
  <sheetFormatPr baseColWidth="10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2.7109375" bestFit="1" customWidth="1"/>
  </cols>
  <sheetData>
    <row r="2" spans="1:5" ht="15.75" x14ac:dyDescent="0.25">
      <c r="A2" s="26" t="s">
        <v>119</v>
      </c>
      <c r="B2" s="26"/>
      <c r="C2" s="26"/>
      <c r="D2" s="26"/>
    </row>
    <row r="4" spans="1:5" x14ac:dyDescent="0.25">
      <c r="A4" s="27" t="s">
        <v>0</v>
      </c>
      <c r="B4" s="1" t="s">
        <v>1</v>
      </c>
      <c r="C4" s="18" t="s">
        <v>2</v>
      </c>
      <c r="D4" s="1" t="s">
        <v>5</v>
      </c>
      <c r="E4" s="1" t="s">
        <v>147</v>
      </c>
    </row>
    <row r="5" spans="1:5" ht="15.75" thickBot="1" x14ac:dyDescent="0.3">
      <c r="A5" s="28"/>
      <c r="B5" s="2" t="s">
        <v>3</v>
      </c>
      <c r="C5" s="2" t="s">
        <v>4</v>
      </c>
      <c r="D5" s="2" t="s">
        <v>79</v>
      </c>
      <c r="E5" s="2" t="s">
        <v>148</v>
      </c>
    </row>
    <row r="6" spans="1:5" ht="15.75" thickTop="1" x14ac:dyDescent="0.25"/>
    <row r="7" spans="1:5" x14ac:dyDescent="0.25">
      <c r="A7" s="3" t="s">
        <v>6</v>
      </c>
    </row>
    <row r="9" spans="1:5" x14ac:dyDescent="0.25">
      <c r="A9" t="s">
        <v>7</v>
      </c>
    </row>
    <row r="10" spans="1:5" x14ac:dyDescent="0.25">
      <c r="A10" s="4" t="s">
        <v>66</v>
      </c>
      <c r="B10" s="7">
        <f>C10</f>
        <v>308</v>
      </c>
      <c r="C10" s="7">
        <f>+('I Trimestre'!C10+'II Trimestre'!C10)</f>
        <v>308</v>
      </c>
      <c r="D10" s="5"/>
    </row>
    <row r="11" spans="1:5" x14ac:dyDescent="0.25">
      <c r="A11" s="4" t="s">
        <v>120</v>
      </c>
      <c r="B11" s="7">
        <f>C11</f>
        <v>300</v>
      </c>
      <c r="C11" s="7">
        <f>+('I Trimestre'!C11+'II Trimestre'!C11)</f>
        <v>300</v>
      </c>
      <c r="D11" s="5"/>
    </row>
    <row r="12" spans="1:5" x14ac:dyDescent="0.25">
      <c r="A12" s="4" t="s">
        <v>121</v>
      </c>
      <c r="B12" s="7">
        <f>C12</f>
        <v>376</v>
      </c>
      <c r="C12" s="7">
        <f>+('I Trimestre'!C12+'II Trimestre'!C12)</f>
        <v>376</v>
      </c>
      <c r="D12" s="5"/>
    </row>
    <row r="13" spans="1:5" x14ac:dyDescent="0.25">
      <c r="A13" s="4" t="s">
        <v>85</v>
      </c>
      <c r="B13" s="7">
        <f>C13</f>
        <v>1800</v>
      </c>
      <c r="C13" s="7">
        <f>+('I Trimestre'!C13+'II Trimestre'!C13)/2</f>
        <v>1800</v>
      </c>
      <c r="D13" s="5"/>
    </row>
    <row r="14" spans="1:5" x14ac:dyDescent="0.25">
      <c r="B14" s="5"/>
      <c r="C14" s="5"/>
      <c r="D14" s="5"/>
    </row>
    <row r="15" spans="1:5" x14ac:dyDescent="0.25">
      <c r="A15" s="6" t="s">
        <v>9</v>
      </c>
      <c r="B15" s="5"/>
      <c r="C15" s="5"/>
      <c r="D15" s="5"/>
    </row>
    <row r="16" spans="1:5" x14ac:dyDescent="0.25">
      <c r="A16" s="4" t="s">
        <v>67</v>
      </c>
      <c r="B16" s="9">
        <f>SUM(C16:D16)</f>
        <v>361651399.5</v>
      </c>
      <c r="C16" s="9">
        <f>+'I Trimestre'!C16+'II Trimestre'!C16</f>
        <v>356446399.5</v>
      </c>
      <c r="D16" s="9">
        <f>+'I Trimestre'!D16+'II Trimestre'!D16</f>
        <v>5205000</v>
      </c>
    </row>
    <row r="17" spans="1:4" x14ac:dyDescent="0.25">
      <c r="A17" s="4" t="s">
        <v>122</v>
      </c>
      <c r="B17" s="7">
        <f>SUM(C17:D17)</f>
        <v>515580000</v>
      </c>
      <c r="C17" s="9">
        <f>+'I Trimestre'!C17+'II Trimestre'!C17</f>
        <v>440580000</v>
      </c>
      <c r="D17" s="9">
        <f>+'I Trimestre'!D17+'II Trimestre'!D17</f>
        <v>75000000</v>
      </c>
    </row>
    <row r="18" spans="1:4" x14ac:dyDescent="0.25">
      <c r="A18" s="4" t="s">
        <v>123</v>
      </c>
      <c r="B18" s="9">
        <f>SUM(C18:D18)</f>
        <v>506906394.26999998</v>
      </c>
      <c r="C18" s="9">
        <f>+'I Trimestre'!C18+'II Trimestre'!C18</f>
        <v>506706394.26999998</v>
      </c>
      <c r="D18" s="9">
        <f>+'I Trimestre'!D18+'II Trimestre'!D18</f>
        <v>200000</v>
      </c>
    </row>
    <row r="19" spans="1:4" x14ac:dyDescent="0.25">
      <c r="A19" s="4" t="s">
        <v>85</v>
      </c>
      <c r="B19" s="7">
        <f>+'II Trimestre'!B19</f>
        <v>1081161198</v>
      </c>
      <c r="C19" s="7">
        <f>+'II Trimestre'!C19</f>
        <v>881161198</v>
      </c>
      <c r="D19" s="7">
        <f>+'II Trimestre'!D19</f>
        <v>150000000</v>
      </c>
    </row>
    <row r="20" spans="1:4" x14ac:dyDescent="0.25">
      <c r="A20" s="4" t="s">
        <v>124</v>
      </c>
      <c r="B20" s="7">
        <f>C20</f>
        <v>0</v>
      </c>
      <c r="C20" s="7">
        <f t="shared" ref="C20:D20" si="0">D20</f>
        <v>0</v>
      </c>
      <c r="D20" s="7">
        <f t="shared" si="0"/>
        <v>0</v>
      </c>
    </row>
    <row r="21" spans="1:4" x14ac:dyDescent="0.25">
      <c r="B21" s="7"/>
      <c r="C21" s="7"/>
      <c r="D21" s="7"/>
    </row>
    <row r="22" spans="1:4" x14ac:dyDescent="0.25">
      <c r="A22" s="8" t="s">
        <v>11</v>
      </c>
      <c r="B22" s="9"/>
      <c r="C22" s="9"/>
      <c r="D22" s="9"/>
    </row>
    <row r="23" spans="1:4" x14ac:dyDescent="0.25">
      <c r="A23" s="10" t="s">
        <v>120</v>
      </c>
      <c r="B23" s="9">
        <f>B17</f>
        <v>515580000</v>
      </c>
      <c r="C23" s="9"/>
      <c r="D23" s="9"/>
    </row>
    <row r="24" spans="1:4" x14ac:dyDescent="0.25">
      <c r="A24" s="10" t="s">
        <v>121</v>
      </c>
      <c r="B24" s="7">
        <f>'I Trimestre'!B24+'II Trimestre'!B24</f>
        <v>558627241.00999999</v>
      </c>
      <c r="C24" s="9"/>
      <c r="D24" s="9"/>
    </row>
    <row r="25" spans="1:4" x14ac:dyDescent="0.25">
      <c r="A25" s="11"/>
      <c r="B25" s="11"/>
      <c r="C25" s="11"/>
      <c r="D25" s="11"/>
    </row>
    <row r="26" spans="1:4" x14ac:dyDescent="0.25">
      <c r="A26" s="11" t="s">
        <v>12</v>
      </c>
      <c r="B26" s="11"/>
      <c r="C26" s="11"/>
      <c r="D26" s="11"/>
    </row>
    <row r="27" spans="1:4" x14ac:dyDescent="0.25">
      <c r="A27" s="10" t="s">
        <v>68</v>
      </c>
      <c r="B27" s="17">
        <v>1.45394391315</v>
      </c>
      <c r="C27" s="17">
        <v>1.45394391315</v>
      </c>
      <c r="D27" s="17">
        <v>1.45394391315</v>
      </c>
    </row>
    <row r="28" spans="1:4" x14ac:dyDescent="0.25">
      <c r="A28" s="10" t="s">
        <v>125</v>
      </c>
      <c r="B28" s="17">
        <v>1.5189901056499999</v>
      </c>
      <c r="C28" s="17">
        <v>1.5189901056499999</v>
      </c>
      <c r="D28" s="17">
        <v>1.5189901056499999</v>
      </c>
    </row>
    <row r="29" spans="1:4" x14ac:dyDescent="0.25">
      <c r="A29" s="10" t="s">
        <v>14</v>
      </c>
      <c r="B29" s="9">
        <v>642</v>
      </c>
      <c r="C29" s="9"/>
      <c r="D29" s="9"/>
    </row>
    <row r="30" spans="1:4" x14ac:dyDescent="0.25">
      <c r="A30" s="11"/>
      <c r="B30" s="11"/>
      <c r="C30" s="11"/>
      <c r="D30" s="11"/>
    </row>
    <row r="31" spans="1:4" x14ac:dyDescent="0.25">
      <c r="A31" s="12" t="s">
        <v>15</v>
      </c>
      <c r="B31" s="11"/>
      <c r="C31" s="11"/>
      <c r="D31" s="11"/>
    </row>
    <row r="32" spans="1:4" x14ac:dyDescent="0.25">
      <c r="A32" s="11" t="s">
        <v>69</v>
      </c>
      <c r="B32" s="9">
        <f>B16/B27</f>
        <v>248738205.25612617</v>
      </c>
      <c r="C32" s="9">
        <f>C16/C27</f>
        <v>245158287.24627444</v>
      </c>
      <c r="D32" s="9">
        <f>D16/D27</f>
        <v>3579918.0098517407</v>
      </c>
    </row>
    <row r="33" spans="1:8" x14ac:dyDescent="0.25">
      <c r="A33" s="11" t="s">
        <v>126</v>
      </c>
      <c r="B33" s="9">
        <f>B18/B28</f>
        <v>333712769.0197078</v>
      </c>
      <c r="C33" s="9">
        <f>C18/C28</f>
        <v>333581102.59261519</v>
      </c>
      <c r="D33" s="9">
        <f>D18/D28</f>
        <v>131666.42709263522</v>
      </c>
    </row>
    <row r="34" spans="1:8" x14ac:dyDescent="0.25">
      <c r="A34" s="11" t="s">
        <v>70</v>
      </c>
      <c r="B34" s="9">
        <f>B32/B10</f>
        <v>807591.57550690311</v>
      </c>
      <c r="C34" s="9">
        <f t="shared" ref="C34" si="1">C32/C10</f>
        <v>795968.46508530667</v>
      </c>
      <c r="D34" s="9"/>
    </row>
    <row r="35" spans="1:8" x14ac:dyDescent="0.25">
      <c r="A35" s="11" t="s">
        <v>127</v>
      </c>
      <c r="B35" s="9">
        <f>B33/B12</f>
        <v>887533.96015879733</v>
      </c>
      <c r="C35" s="9">
        <f>C33/C12</f>
        <v>887183.78349099786</v>
      </c>
      <c r="D35" s="9"/>
    </row>
    <row r="37" spans="1:8" x14ac:dyDescent="0.25">
      <c r="A37" s="3" t="s">
        <v>18</v>
      </c>
    </row>
    <row r="39" spans="1:8" x14ac:dyDescent="0.25">
      <c r="A39" t="s">
        <v>19</v>
      </c>
    </row>
    <row r="40" spans="1:8" x14ac:dyDescent="0.25">
      <c r="A40" t="s">
        <v>20</v>
      </c>
      <c r="B40" s="15">
        <f>(B11*100)/(B29)</f>
        <v>46.728971962616825</v>
      </c>
      <c r="C40" s="15" t="e">
        <f>(C11*100)/(C29)</f>
        <v>#DIV/0!</v>
      </c>
      <c r="D40" s="13"/>
      <c r="E40" s="11"/>
      <c r="F40" s="11"/>
      <c r="G40" s="11"/>
      <c r="H40" s="11"/>
    </row>
    <row r="41" spans="1:8" x14ac:dyDescent="0.25">
      <c r="A41" t="s">
        <v>21</v>
      </c>
      <c r="B41" s="15">
        <f>(B12*100)/(B29)</f>
        <v>58.566978193146419</v>
      </c>
      <c r="C41" s="15" t="e">
        <f>(C12*100)/(C29)</f>
        <v>#DIV/0!</v>
      </c>
      <c r="D41" s="13"/>
    </row>
    <row r="43" spans="1:8" x14ac:dyDescent="0.25">
      <c r="A43" t="s">
        <v>22</v>
      </c>
    </row>
    <row r="44" spans="1:8" x14ac:dyDescent="0.25">
      <c r="A44" t="s">
        <v>23</v>
      </c>
      <c r="B44" s="14">
        <f>B12/B11*100</f>
        <v>125.33333333333334</v>
      </c>
      <c r="C44" s="14">
        <f>C12/C11*100</f>
        <v>125.33333333333334</v>
      </c>
      <c r="D44" s="14"/>
    </row>
    <row r="45" spans="1:8" x14ac:dyDescent="0.25">
      <c r="A45" t="s">
        <v>24</v>
      </c>
      <c r="B45" s="14">
        <f>B18/B17*100</f>
        <v>98.317699342488069</v>
      </c>
      <c r="C45" s="14">
        <f>C18/C17*100</f>
        <v>115.00894145671614</v>
      </c>
      <c r="D45" s="14">
        <f>D18/D17*100</f>
        <v>0.26666666666666666</v>
      </c>
    </row>
    <row r="46" spans="1:8" x14ac:dyDescent="0.25">
      <c r="A46" s="11" t="s">
        <v>25</v>
      </c>
      <c r="B46" s="13">
        <f>AVERAGE(B44:B45)</f>
        <v>111.8255163379107</v>
      </c>
      <c r="C46" s="13">
        <f>AVERAGE(C44:C45)</f>
        <v>120.17113739502474</v>
      </c>
      <c r="D46" s="13"/>
    </row>
    <row r="47" spans="1:8" x14ac:dyDescent="0.25">
      <c r="A47" s="11"/>
      <c r="B47" s="13"/>
      <c r="C47" s="13"/>
      <c r="D47" s="13"/>
    </row>
    <row r="48" spans="1:8" x14ac:dyDescent="0.25">
      <c r="A48" s="11" t="s">
        <v>26</v>
      </c>
      <c r="B48" s="11"/>
      <c r="C48" s="11"/>
      <c r="D48" s="11"/>
    </row>
    <row r="49" spans="1:4" x14ac:dyDescent="0.25">
      <c r="A49" s="11" t="s">
        <v>27</v>
      </c>
      <c r="B49" s="13">
        <f>B12/(B13*2)*100</f>
        <v>10.444444444444445</v>
      </c>
      <c r="C49" s="13">
        <f>C12/(C13*2)*100</f>
        <v>10.444444444444445</v>
      </c>
      <c r="D49" s="13"/>
    </row>
    <row r="50" spans="1:4" x14ac:dyDescent="0.25">
      <c r="A50" s="11" t="s">
        <v>28</v>
      </c>
      <c r="B50" s="13">
        <f>B18/B19*100</f>
        <v>46.885366882173294</v>
      </c>
      <c r="C50" s="13">
        <f>C18/C19*100</f>
        <v>57.504392547026342</v>
      </c>
      <c r="D50" s="13">
        <f>D18/D19*100</f>
        <v>0.13333333333333333</v>
      </c>
    </row>
    <row r="51" spans="1:4" x14ac:dyDescent="0.25">
      <c r="A51" s="11" t="s">
        <v>29</v>
      </c>
      <c r="B51" s="13">
        <f>(B49+B50)/2</f>
        <v>28.664905663308868</v>
      </c>
      <c r="C51" s="13">
        <f>(C49+C50)/2</f>
        <v>33.974418495735392</v>
      </c>
      <c r="D51" s="13"/>
    </row>
    <row r="52" spans="1:4" x14ac:dyDescent="0.25">
      <c r="A52" s="11"/>
      <c r="B52" s="11"/>
      <c r="C52" s="11"/>
      <c r="D52" s="11"/>
    </row>
    <row r="53" spans="1:4" x14ac:dyDescent="0.25">
      <c r="A53" s="11" t="s">
        <v>71</v>
      </c>
      <c r="B53" s="11"/>
      <c r="C53" s="11"/>
      <c r="D53" s="11"/>
    </row>
    <row r="54" spans="1:4" x14ac:dyDescent="0.25">
      <c r="A54" s="11" t="s">
        <v>30</v>
      </c>
      <c r="B54" s="15">
        <f>B20/B18</f>
        <v>0</v>
      </c>
      <c r="C54" s="13"/>
      <c r="D54" s="13"/>
    </row>
    <row r="55" spans="1:4" x14ac:dyDescent="0.25">
      <c r="A55" s="11"/>
      <c r="B55" s="11"/>
      <c r="C55" s="11"/>
      <c r="D55" s="11"/>
    </row>
    <row r="56" spans="1:4" x14ac:dyDescent="0.25">
      <c r="A56" s="11" t="s">
        <v>31</v>
      </c>
      <c r="B56" s="11"/>
      <c r="C56" s="11"/>
      <c r="D56" s="11"/>
    </row>
    <row r="57" spans="1:4" x14ac:dyDescent="0.25">
      <c r="A57" s="11" t="s">
        <v>32</v>
      </c>
      <c r="B57" s="14">
        <f>((B12/B10)-1)*100</f>
        <v>22.077922077922075</v>
      </c>
      <c r="C57" s="14"/>
      <c r="D57" s="13"/>
    </row>
    <row r="58" spans="1:4" x14ac:dyDescent="0.25">
      <c r="A58" s="11" t="s">
        <v>33</v>
      </c>
      <c r="B58" s="14">
        <f>((B33/B32)-1)*100</f>
        <v>34.162248487755711</v>
      </c>
      <c r="C58" s="14">
        <f>((C33/C32)-1)*100</f>
        <v>36.067642803163878</v>
      </c>
      <c r="D58" s="13"/>
    </row>
    <row r="59" spans="1:4" x14ac:dyDescent="0.25">
      <c r="A59" s="11" t="s">
        <v>34</v>
      </c>
      <c r="B59" s="14">
        <f>((B35/B34)-1)*100</f>
        <v>9.898863122948832</v>
      </c>
      <c r="C59" s="14">
        <f>((C35/C34)-1)*100</f>
        <v>11.459664849400198</v>
      </c>
      <c r="D59" s="13"/>
    </row>
    <row r="60" spans="1:4" x14ac:dyDescent="0.25">
      <c r="A60" s="11"/>
      <c r="B60" s="13"/>
      <c r="C60" s="13"/>
      <c r="D60" s="13"/>
    </row>
    <row r="61" spans="1:4" x14ac:dyDescent="0.25">
      <c r="A61" s="11" t="s">
        <v>35</v>
      </c>
      <c r="B61" s="11"/>
      <c r="C61" s="11"/>
      <c r="D61" s="11"/>
    </row>
    <row r="62" spans="1:4" x14ac:dyDescent="0.25">
      <c r="A62" t="s">
        <v>75</v>
      </c>
      <c r="B62" s="9">
        <f>B17/(B11*6)</f>
        <v>286433.33333333331</v>
      </c>
      <c r="C62" s="9">
        <f>C17/(C11*6)</f>
        <v>244766.66666666666</v>
      </c>
      <c r="D62" s="9"/>
    </row>
    <row r="63" spans="1:4" x14ac:dyDescent="0.25">
      <c r="A63" t="s">
        <v>76</v>
      </c>
      <c r="B63" s="9">
        <f>B18/(B12*6)</f>
        <v>224692.55065159572</v>
      </c>
      <c r="C63" s="9">
        <f>C18/(C12*6)</f>
        <v>224603.89816932625</v>
      </c>
      <c r="D63" s="9"/>
    </row>
    <row r="64" spans="1:4" x14ac:dyDescent="0.25">
      <c r="A64" s="11" t="s">
        <v>36</v>
      </c>
      <c r="B64" s="9">
        <f>(B62/B63)*B46</f>
        <v>142.55281407194889</v>
      </c>
      <c r="C64" s="9">
        <f>(C62/C63)*C46</f>
        <v>130.95894136061449</v>
      </c>
      <c r="D64" s="13"/>
    </row>
    <row r="65" spans="1:4" x14ac:dyDescent="0.25">
      <c r="A65" s="13" t="s">
        <v>77</v>
      </c>
      <c r="B65" s="9">
        <f>B17/B11</f>
        <v>1718600</v>
      </c>
      <c r="C65" s="9">
        <f>C17/C11</f>
        <v>1468600</v>
      </c>
      <c r="D65" s="13"/>
    </row>
    <row r="66" spans="1:4" x14ac:dyDescent="0.25">
      <c r="A66" s="13" t="s">
        <v>78</v>
      </c>
      <c r="B66" s="9">
        <f>B18/B12</f>
        <v>1348155.3039095744</v>
      </c>
      <c r="C66" s="9">
        <f>C18/C12</f>
        <v>1347623.3890159575</v>
      </c>
      <c r="D66" s="13"/>
    </row>
    <row r="67" spans="1:4" x14ac:dyDescent="0.25">
      <c r="B67" s="9"/>
      <c r="C67" s="9"/>
      <c r="D67" s="14"/>
    </row>
    <row r="68" spans="1:4" x14ac:dyDescent="0.25">
      <c r="A68" t="s">
        <v>37</v>
      </c>
      <c r="B68" s="14"/>
      <c r="C68" s="14"/>
      <c r="D68" s="14"/>
    </row>
    <row r="69" spans="1:4" x14ac:dyDescent="0.25">
      <c r="A69" s="11" t="s">
        <v>38</v>
      </c>
      <c r="B69" s="13">
        <f>(B24/B23)*100</f>
        <v>108.34928449707127</v>
      </c>
      <c r="C69" s="13"/>
      <c r="D69" s="13"/>
    </row>
    <row r="70" spans="1:4" x14ac:dyDescent="0.25">
      <c r="A70" s="11" t="s">
        <v>39</v>
      </c>
      <c r="B70" s="13">
        <f>(B18/B24)*100</f>
        <v>90.741438486514099</v>
      </c>
      <c r="C70" s="13"/>
      <c r="D70" s="13"/>
    </row>
    <row r="71" spans="1:4" ht="15.75" thickBot="1" x14ac:dyDescent="0.3">
      <c r="A71" s="16"/>
      <c r="B71" s="16"/>
      <c r="C71" s="16"/>
      <c r="D71" s="16"/>
    </row>
    <row r="72" spans="1:4" ht="15.75" thickTop="1" x14ac:dyDescent="0.25"/>
    <row r="73" spans="1:4" x14ac:dyDescent="0.25">
      <c r="A73" t="s">
        <v>40</v>
      </c>
    </row>
    <row r="74" spans="1:4" x14ac:dyDescent="0.25">
      <c r="A74" t="s">
        <v>150</v>
      </c>
    </row>
    <row r="75" spans="1:4" x14ac:dyDescent="0.25">
      <c r="A75" t="s">
        <v>92</v>
      </c>
      <c r="B75" s="5"/>
      <c r="C75" s="5"/>
      <c r="D75" s="5"/>
    </row>
    <row r="78" spans="1:4" x14ac:dyDescent="0.25">
      <c r="A78" t="s">
        <v>72</v>
      </c>
    </row>
    <row r="79" spans="1:4" x14ac:dyDescent="0.25">
      <c r="A79" s="21" t="s">
        <v>80</v>
      </c>
    </row>
    <row r="80" spans="1:4" x14ac:dyDescent="0.25">
      <c r="A80" s="22" t="s">
        <v>73</v>
      </c>
    </row>
    <row r="81" spans="1:1" x14ac:dyDescent="0.25">
      <c r="A81" s="22" t="s">
        <v>74</v>
      </c>
    </row>
  </sheetData>
  <mergeCells count="2">
    <mergeCell ref="A2:D2"/>
    <mergeCell ref="A4:A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1"/>
  <sheetViews>
    <sheetView topLeftCell="A76" workbookViewId="0">
      <selection activeCell="C41" sqref="C41"/>
    </sheetView>
  </sheetViews>
  <sheetFormatPr baseColWidth="10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2.7109375" bestFit="1" customWidth="1"/>
  </cols>
  <sheetData>
    <row r="2" spans="1:5" ht="15.75" x14ac:dyDescent="0.25">
      <c r="A2" s="26" t="s">
        <v>128</v>
      </c>
      <c r="B2" s="26"/>
      <c r="C2" s="26"/>
      <c r="D2" s="26"/>
    </row>
    <row r="4" spans="1:5" x14ac:dyDescent="0.25">
      <c r="A4" s="27" t="s">
        <v>0</v>
      </c>
      <c r="B4" s="1" t="s">
        <v>1</v>
      </c>
      <c r="C4" s="18" t="s">
        <v>2</v>
      </c>
      <c r="D4" s="1" t="s">
        <v>5</v>
      </c>
      <c r="E4" s="1" t="s">
        <v>147</v>
      </c>
    </row>
    <row r="5" spans="1:5" ht="15.75" thickBot="1" x14ac:dyDescent="0.3">
      <c r="A5" s="28"/>
      <c r="B5" s="2" t="s">
        <v>3</v>
      </c>
      <c r="C5" s="2" t="s">
        <v>4</v>
      </c>
      <c r="D5" s="2" t="s">
        <v>79</v>
      </c>
      <c r="E5" s="2" t="s">
        <v>148</v>
      </c>
    </row>
    <row r="6" spans="1:5" ht="15.75" thickTop="1" x14ac:dyDescent="0.25"/>
    <row r="7" spans="1:5" x14ac:dyDescent="0.25">
      <c r="A7" s="3" t="s">
        <v>6</v>
      </c>
    </row>
    <row r="9" spans="1:5" x14ac:dyDescent="0.25">
      <c r="A9" t="s">
        <v>7</v>
      </c>
    </row>
    <row r="10" spans="1:5" x14ac:dyDescent="0.25">
      <c r="A10" s="4" t="s">
        <v>61</v>
      </c>
      <c r="B10" s="7">
        <f>C10</f>
        <v>515</v>
      </c>
      <c r="C10" s="7">
        <f>+('I Trimestre'!C10+'II Trimestre'!C10+'III Trimestre'!C10)</f>
        <v>515</v>
      </c>
      <c r="D10" s="5"/>
    </row>
    <row r="11" spans="1:5" x14ac:dyDescent="0.25">
      <c r="A11" s="4" t="s">
        <v>129</v>
      </c>
      <c r="B11" s="7">
        <f>C11</f>
        <v>450</v>
      </c>
      <c r="C11" s="7">
        <f>+('I Trimestre'!C11+'II Trimestre'!C11+'III Trimestre'!C11)</f>
        <v>450</v>
      </c>
      <c r="D11" s="5"/>
    </row>
    <row r="12" spans="1:5" x14ac:dyDescent="0.25">
      <c r="A12" s="4" t="s">
        <v>130</v>
      </c>
      <c r="B12" s="7">
        <f>C12</f>
        <v>567</v>
      </c>
      <c r="C12" s="7">
        <f>+('I Trimestre'!C12+'II Trimestre'!C12+'III Trimestre'!C12)</f>
        <v>567</v>
      </c>
      <c r="D12" s="5"/>
    </row>
    <row r="13" spans="1:5" x14ac:dyDescent="0.25">
      <c r="A13" s="4" t="s">
        <v>85</v>
      </c>
      <c r="B13" s="7">
        <f>C13</f>
        <v>1800</v>
      </c>
      <c r="C13" s="7">
        <f>+('I Trimestre'!C13+'II Trimestre'!C13+'III Trimestre'!C13)/3</f>
        <v>1800</v>
      </c>
      <c r="D13" s="5"/>
    </row>
    <row r="14" spans="1:5" x14ac:dyDescent="0.25">
      <c r="B14" s="5"/>
      <c r="C14" s="7"/>
      <c r="D14" s="5"/>
    </row>
    <row r="15" spans="1:5" x14ac:dyDescent="0.25">
      <c r="A15" s="6" t="s">
        <v>9</v>
      </c>
      <c r="B15" s="5"/>
      <c r="C15" s="5"/>
      <c r="D15" s="5"/>
    </row>
    <row r="16" spans="1:5" x14ac:dyDescent="0.25">
      <c r="A16" s="4" t="s">
        <v>62</v>
      </c>
      <c r="B16" s="9">
        <f>SUM(C16:D16)</f>
        <v>599942870.5</v>
      </c>
      <c r="C16" s="9">
        <f>+'I Trimestre'!C16+'II Trimestre'!C16+'III Trimestre'!C16</f>
        <v>587757870.5</v>
      </c>
      <c r="D16" s="9">
        <f>+'I Trimestre'!D16+'II Trimestre'!D16+'III Trimestre'!D16</f>
        <v>12185000</v>
      </c>
    </row>
    <row r="17" spans="1:4" x14ac:dyDescent="0.25">
      <c r="A17" s="4" t="s">
        <v>131</v>
      </c>
      <c r="B17" s="7">
        <f>SUM(C17:D17)</f>
        <v>773370000</v>
      </c>
      <c r="C17" s="9">
        <f>+'I Trimestre'!C17+'II Trimestre'!C17+'III Trimestre'!C17</f>
        <v>660870000</v>
      </c>
      <c r="D17" s="9">
        <f>+'I Trimestre'!D17+'II Trimestre'!D17+'III Trimestre'!D17</f>
        <v>112500000</v>
      </c>
    </row>
    <row r="18" spans="1:4" x14ac:dyDescent="0.25">
      <c r="A18" s="4" t="s">
        <v>132</v>
      </c>
      <c r="B18" s="9">
        <f>SUM(C18:D18)</f>
        <v>769906394.26999998</v>
      </c>
      <c r="C18" s="9">
        <f>+'I Trimestre'!C18+'II Trimestre'!C18+'III Trimestre'!C18</f>
        <v>769706394.26999998</v>
      </c>
      <c r="D18" s="9">
        <f>+'I Trimestre'!D18+'II Trimestre'!D18+'III Trimestre'!D18</f>
        <v>200000</v>
      </c>
    </row>
    <row r="19" spans="1:4" x14ac:dyDescent="0.25">
      <c r="A19" s="4" t="s">
        <v>85</v>
      </c>
      <c r="B19" s="7">
        <f>+'III Trimestre'!B19</f>
        <v>1081161198</v>
      </c>
      <c r="C19" s="7">
        <f>+'III Trimestre'!C19</f>
        <v>881161198</v>
      </c>
      <c r="D19" s="7">
        <f>+'III Trimestre'!D19</f>
        <v>150000000</v>
      </c>
    </row>
    <row r="20" spans="1:4" x14ac:dyDescent="0.25">
      <c r="A20" s="4" t="s">
        <v>133</v>
      </c>
      <c r="B20" s="7">
        <f>C20</f>
        <v>0</v>
      </c>
      <c r="C20" s="7">
        <f t="shared" ref="C20:D20" si="0">D20</f>
        <v>0</v>
      </c>
      <c r="D20" s="7">
        <f t="shared" si="0"/>
        <v>0</v>
      </c>
    </row>
    <row r="21" spans="1:4" x14ac:dyDescent="0.25">
      <c r="B21" s="7"/>
      <c r="C21" s="7"/>
      <c r="D21" s="7"/>
    </row>
    <row r="22" spans="1:4" x14ac:dyDescent="0.25">
      <c r="A22" s="8" t="s">
        <v>11</v>
      </c>
      <c r="B22" s="9"/>
      <c r="C22" s="9"/>
      <c r="D22" s="9"/>
    </row>
    <row r="23" spans="1:4" x14ac:dyDescent="0.25">
      <c r="A23" s="10" t="s">
        <v>129</v>
      </c>
      <c r="B23" s="9">
        <f>B17</f>
        <v>773370000</v>
      </c>
      <c r="C23" s="9"/>
      <c r="D23" s="9"/>
    </row>
    <row r="24" spans="1:4" x14ac:dyDescent="0.25">
      <c r="A24" s="10" t="s">
        <v>130</v>
      </c>
      <c r="B24" s="7">
        <f>'I Trimestre'!B24+'II Trimestre'!B24+'III Trimestre'!B24</f>
        <v>837965868.99000001</v>
      </c>
      <c r="C24" s="9"/>
      <c r="D24" s="9"/>
    </row>
    <row r="25" spans="1:4" x14ac:dyDescent="0.25">
      <c r="A25" s="11"/>
      <c r="B25" s="11"/>
      <c r="C25" s="11"/>
      <c r="D25" s="11"/>
    </row>
    <row r="26" spans="1:4" x14ac:dyDescent="0.25">
      <c r="A26" s="11" t="s">
        <v>12</v>
      </c>
      <c r="B26" s="11"/>
      <c r="C26" s="11"/>
      <c r="D26" s="11"/>
    </row>
    <row r="27" spans="1:4" x14ac:dyDescent="0.25">
      <c r="A27" s="10" t="s">
        <v>63</v>
      </c>
      <c r="B27" s="17">
        <v>1.4617491794222224</v>
      </c>
      <c r="C27" s="17">
        <v>1.4617491794222224</v>
      </c>
      <c r="D27" s="17">
        <v>1.4617491794222224</v>
      </c>
    </row>
    <row r="28" spans="1:4" x14ac:dyDescent="0.25">
      <c r="A28" s="10" t="s">
        <v>134</v>
      </c>
      <c r="B28" s="17">
        <v>1.5258720344444443</v>
      </c>
      <c r="C28" s="17">
        <v>1.5258720344444443</v>
      </c>
      <c r="D28" s="17">
        <v>1.5258720344444443</v>
      </c>
    </row>
    <row r="29" spans="1:4" x14ac:dyDescent="0.25">
      <c r="A29" s="10" t="s">
        <v>14</v>
      </c>
      <c r="B29" s="9">
        <v>642</v>
      </c>
      <c r="C29" s="9"/>
      <c r="D29" s="9"/>
    </row>
    <row r="30" spans="1:4" x14ac:dyDescent="0.25">
      <c r="A30" s="11"/>
      <c r="B30" s="11"/>
      <c r="C30" s="11"/>
      <c r="D30" s="11"/>
    </row>
    <row r="31" spans="1:4" x14ac:dyDescent="0.25">
      <c r="A31" s="12" t="s">
        <v>15</v>
      </c>
      <c r="B31" s="11"/>
      <c r="C31" s="11"/>
      <c r="D31" s="11"/>
    </row>
    <row r="32" spans="1:4" x14ac:dyDescent="0.25">
      <c r="A32" s="11" t="s">
        <v>64</v>
      </c>
      <c r="B32" s="9">
        <f>B16/B27</f>
        <v>410428053.5578177</v>
      </c>
      <c r="C32" s="9">
        <f>C16/C27</f>
        <v>402092150.12682259</v>
      </c>
      <c r="D32" s="9">
        <f>D16/D27</f>
        <v>8335903.4309951169</v>
      </c>
    </row>
    <row r="33" spans="1:8" x14ac:dyDescent="0.25">
      <c r="A33" s="11" t="s">
        <v>135</v>
      </c>
      <c r="B33" s="9">
        <f>B18/B28</f>
        <v>504568126.87462068</v>
      </c>
      <c r="C33" s="9">
        <f>C18/C28</f>
        <v>504437054.28433442</v>
      </c>
      <c r="D33" s="9">
        <f>D18/D28</f>
        <v>131072.59028626088</v>
      </c>
    </row>
    <row r="34" spans="1:8" x14ac:dyDescent="0.25">
      <c r="A34" s="11" t="s">
        <v>65</v>
      </c>
      <c r="B34" s="9">
        <f>B32/B10</f>
        <v>796947.67681129649</v>
      </c>
      <c r="C34" s="9">
        <f t="shared" ref="C34" si="1">C32/C10</f>
        <v>780761.45655693708</v>
      </c>
      <c r="D34" s="9"/>
    </row>
    <row r="35" spans="1:8" x14ac:dyDescent="0.25">
      <c r="A35" s="11" t="s">
        <v>136</v>
      </c>
      <c r="B35" s="9">
        <f>B33/B12</f>
        <v>889890.87632208236</v>
      </c>
      <c r="C35" s="9">
        <f>C33/C12</f>
        <v>889659.70773251215</v>
      </c>
      <c r="D35" s="9"/>
    </row>
    <row r="37" spans="1:8" x14ac:dyDescent="0.25">
      <c r="A37" s="3" t="s">
        <v>18</v>
      </c>
    </row>
    <row r="39" spans="1:8" x14ac:dyDescent="0.25">
      <c r="A39" t="s">
        <v>19</v>
      </c>
    </row>
    <row r="40" spans="1:8" x14ac:dyDescent="0.25">
      <c r="A40" t="s">
        <v>20</v>
      </c>
      <c r="B40" s="15">
        <f>(B11*100)/(B29)</f>
        <v>70.09345794392523</v>
      </c>
      <c r="C40" s="15" t="e">
        <f>(C11*100)/(C29)</f>
        <v>#DIV/0!</v>
      </c>
      <c r="D40" s="13"/>
      <c r="E40" s="11"/>
      <c r="F40" s="11"/>
      <c r="G40" s="11"/>
      <c r="H40" s="11"/>
    </row>
    <row r="41" spans="1:8" x14ac:dyDescent="0.25">
      <c r="A41" t="s">
        <v>21</v>
      </c>
      <c r="B41" s="15">
        <f>(B12*100)/(B29)</f>
        <v>88.317757009345797</v>
      </c>
      <c r="C41" s="15" t="e">
        <f>(C12*100)/(C29)</f>
        <v>#DIV/0!</v>
      </c>
      <c r="D41" s="13"/>
    </row>
    <row r="43" spans="1:8" x14ac:dyDescent="0.25">
      <c r="A43" t="s">
        <v>22</v>
      </c>
    </row>
    <row r="44" spans="1:8" x14ac:dyDescent="0.25">
      <c r="A44" t="s">
        <v>23</v>
      </c>
      <c r="B44" s="14">
        <f>B12/B11*100</f>
        <v>126</v>
      </c>
      <c r="C44" s="14">
        <f>C12/C11*100</f>
        <v>126</v>
      </c>
      <c r="D44" s="14"/>
    </row>
    <row r="45" spans="1:8" x14ac:dyDescent="0.25">
      <c r="A45" t="s">
        <v>24</v>
      </c>
      <c r="B45" s="14">
        <f>B18/B17*100</f>
        <v>99.552141183392166</v>
      </c>
      <c r="C45" s="14">
        <f>C18/C17*100</f>
        <v>116.46865408779337</v>
      </c>
      <c r="D45" s="14">
        <f>D18/D17*100</f>
        <v>0.17777777777777778</v>
      </c>
    </row>
    <row r="46" spans="1:8" x14ac:dyDescent="0.25">
      <c r="A46" s="11" t="s">
        <v>25</v>
      </c>
      <c r="B46" s="13">
        <f>AVERAGE(B44:B45)</f>
        <v>112.77607059169608</v>
      </c>
      <c r="C46" s="13">
        <f>AVERAGE(C44:C45)</f>
        <v>121.23432704389668</v>
      </c>
      <c r="D46" s="13"/>
    </row>
    <row r="47" spans="1:8" x14ac:dyDescent="0.25">
      <c r="A47" s="11"/>
      <c r="B47" s="13"/>
      <c r="C47" s="13"/>
      <c r="D47" s="13"/>
    </row>
    <row r="48" spans="1:8" x14ac:dyDescent="0.25">
      <c r="A48" s="11" t="s">
        <v>26</v>
      </c>
      <c r="B48" s="11"/>
      <c r="C48" s="11"/>
      <c r="D48" s="11"/>
    </row>
    <row r="49" spans="1:4" x14ac:dyDescent="0.25">
      <c r="A49" s="11" t="s">
        <v>27</v>
      </c>
      <c r="B49" s="13">
        <f>B12/(B13*4/3)*100</f>
        <v>23.625</v>
      </c>
      <c r="C49" s="13">
        <f>C12/(C13*4/3)*100</f>
        <v>23.625</v>
      </c>
      <c r="D49" s="13"/>
    </row>
    <row r="50" spans="1:4" x14ac:dyDescent="0.25">
      <c r="A50" s="11" t="s">
        <v>28</v>
      </c>
      <c r="B50" s="13">
        <f>B18/B19*100</f>
        <v>71.211064149751323</v>
      </c>
      <c r="C50" s="13">
        <f>C18/C19*100</f>
        <v>87.351371805411702</v>
      </c>
      <c r="D50" s="13">
        <f>D18/D19*100</f>
        <v>0.13333333333333333</v>
      </c>
    </row>
    <row r="51" spans="1:4" x14ac:dyDescent="0.25">
      <c r="A51" s="11" t="s">
        <v>29</v>
      </c>
      <c r="B51" s="13">
        <f>(B49+B50)/2</f>
        <v>47.418032074875661</v>
      </c>
      <c r="C51" s="13">
        <f>(C49+C50)/2</f>
        <v>55.488185902705851</v>
      </c>
      <c r="D51" s="13"/>
    </row>
    <row r="52" spans="1:4" x14ac:dyDescent="0.25">
      <c r="A52" s="11"/>
      <c r="B52" s="11"/>
      <c r="C52" s="11"/>
      <c r="D52" s="11"/>
    </row>
    <row r="53" spans="1:4" x14ac:dyDescent="0.25">
      <c r="A53" s="11" t="s">
        <v>71</v>
      </c>
      <c r="B53" s="11"/>
      <c r="C53" s="11"/>
      <c r="D53" s="11"/>
    </row>
    <row r="54" spans="1:4" x14ac:dyDescent="0.25">
      <c r="A54" s="11" t="s">
        <v>30</v>
      </c>
      <c r="B54" s="15">
        <f>B20/B18</f>
        <v>0</v>
      </c>
      <c r="C54" s="13"/>
      <c r="D54" s="13"/>
    </row>
    <row r="55" spans="1:4" x14ac:dyDescent="0.25">
      <c r="A55" s="11"/>
      <c r="B55" s="11"/>
      <c r="C55" s="11"/>
      <c r="D55" s="11"/>
    </row>
    <row r="56" spans="1:4" x14ac:dyDescent="0.25">
      <c r="A56" s="11" t="s">
        <v>31</v>
      </c>
      <c r="B56" s="11"/>
      <c r="C56" s="11"/>
      <c r="D56" s="11"/>
    </row>
    <row r="57" spans="1:4" x14ac:dyDescent="0.25">
      <c r="A57" s="11" t="s">
        <v>32</v>
      </c>
      <c r="B57" s="14">
        <f>((B12/B10)-1)*100</f>
        <v>10.097087378640769</v>
      </c>
      <c r="C57" s="14"/>
      <c r="D57" s="13"/>
    </row>
    <row r="58" spans="1:4" x14ac:dyDescent="0.25">
      <c r="A58" s="11" t="s">
        <v>33</v>
      </c>
      <c r="B58" s="14">
        <f>((B33/B32)-1)*100</f>
        <v>22.937046456923362</v>
      </c>
      <c r="C58" s="14">
        <f>((C33/C32)-1)*100</f>
        <v>25.453096790183928</v>
      </c>
      <c r="D58" s="13"/>
    </row>
    <row r="59" spans="1:4" x14ac:dyDescent="0.25">
      <c r="A59" s="11" t="s">
        <v>34</v>
      </c>
      <c r="B59" s="14">
        <f>((B35/B34)-1)*100</f>
        <v>11.66239669367819</v>
      </c>
      <c r="C59" s="14">
        <f>((C35/C34)-1)*100</f>
        <v>13.947698142759645</v>
      </c>
      <c r="D59" s="13"/>
    </row>
    <row r="60" spans="1:4" x14ac:dyDescent="0.25">
      <c r="A60" s="11"/>
      <c r="B60" s="13"/>
      <c r="C60" s="13"/>
      <c r="D60" s="13"/>
    </row>
    <row r="61" spans="1:4" x14ac:dyDescent="0.25">
      <c r="A61" s="11" t="s">
        <v>35</v>
      </c>
      <c r="B61" s="11"/>
      <c r="C61" s="11"/>
      <c r="D61" s="11"/>
    </row>
    <row r="62" spans="1:4" x14ac:dyDescent="0.25">
      <c r="A62" t="s">
        <v>75</v>
      </c>
      <c r="B62" s="9">
        <f>B17/(B11*9)</f>
        <v>190955.55555555556</v>
      </c>
      <c r="C62" s="9">
        <f>C17/(C11*9)</f>
        <v>163177.77777777778</v>
      </c>
      <c r="D62" s="9"/>
    </row>
    <row r="63" spans="1:4" x14ac:dyDescent="0.25">
      <c r="A63" t="s">
        <v>76</v>
      </c>
      <c r="B63" s="9">
        <f>B18/(B12*9)</f>
        <v>150873.28909856945</v>
      </c>
      <c r="C63" s="9">
        <f>C18/(C12*9)</f>
        <v>150834.09646678425</v>
      </c>
      <c r="D63" s="9"/>
    </row>
    <row r="64" spans="1:4" x14ac:dyDescent="0.25">
      <c r="A64" s="11" t="s">
        <v>36</v>
      </c>
      <c r="B64" s="9">
        <f>(B62/B63)*B46</f>
        <v>142.73710967579132</v>
      </c>
      <c r="C64" s="9">
        <f>(C62/C63)*C46</f>
        <v>131.15567726932247</v>
      </c>
      <c r="D64" s="13"/>
    </row>
    <row r="65" spans="1:4" x14ac:dyDescent="0.25">
      <c r="A65" s="13" t="s">
        <v>77</v>
      </c>
      <c r="B65" s="9">
        <f>B17/B11</f>
        <v>1718600</v>
      </c>
      <c r="C65" s="9">
        <f>C17/C11</f>
        <v>1468600</v>
      </c>
      <c r="D65" s="13"/>
    </row>
    <row r="66" spans="1:4" x14ac:dyDescent="0.25">
      <c r="A66" s="13" t="s">
        <v>78</v>
      </c>
      <c r="B66" s="9">
        <f>B18/B12</f>
        <v>1357859.6018871253</v>
      </c>
      <c r="C66" s="9">
        <f>C18/C12</f>
        <v>1357506.8682010581</v>
      </c>
      <c r="D66" s="13"/>
    </row>
    <row r="67" spans="1:4" x14ac:dyDescent="0.25">
      <c r="B67" s="9"/>
      <c r="C67" s="9"/>
      <c r="D67" s="14"/>
    </row>
    <row r="68" spans="1:4" x14ac:dyDescent="0.25">
      <c r="A68" t="s">
        <v>37</v>
      </c>
      <c r="B68" s="14"/>
      <c r="C68" s="14"/>
      <c r="D68" s="14"/>
    </row>
    <row r="69" spans="1:4" x14ac:dyDescent="0.25">
      <c r="A69" s="11" t="s">
        <v>38</v>
      </c>
      <c r="B69" s="13">
        <f>(B24/B23)*100</f>
        <v>108.35251806897087</v>
      </c>
      <c r="C69" s="13"/>
      <c r="D69" s="13"/>
    </row>
    <row r="70" spans="1:4" x14ac:dyDescent="0.25">
      <c r="A70" s="11" t="s">
        <v>39</v>
      </c>
      <c r="B70" s="13">
        <f>(B18/B24)*100</f>
        <v>91.878013504054508</v>
      </c>
      <c r="C70" s="13"/>
      <c r="D70" s="13"/>
    </row>
    <row r="71" spans="1:4" ht="15.75" thickBot="1" x14ac:dyDescent="0.3">
      <c r="A71" s="16"/>
      <c r="B71" s="16"/>
      <c r="C71" s="16"/>
      <c r="D71" s="16"/>
    </row>
    <row r="72" spans="1:4" ht="15.75" thickTop="1" x14ac:dyDescent="0.25"/>
    <row r="73" spans="1:4" x14ac:dyDescent="0.25">
      <c r="A73" t="s">
        <v>40</v>
      </c>
    </row>
    <row r="74" spans="1:4" x14ac:dyDescent="0.25">
      <c r="A74" t="s">
        <v>150</v>
      </c>
    </row>
    <row r="75" spans="1:4" x14ac:dyDescent="0.25">
      <c r="A75" t="s">
        <v>92</v>
      </c>
      <c r="B75" s="5"/>
      <c r="C75" s="5"/>
      <c r="D75" s="5"/>
    </row>
    <row r="78" spans="1:4" x14ac:dyDescent="0.25">
      <c r="A78" t="s">
        <v>72</v>
      </c>
    </row>
    <row r="79" spans="1:4" x14ac:dyDescent="0.25">
      <c r="A79" s="21" t="s">
        <v>80</v>
      </c>
    </row>
    <row r="80" spans="1:4" x14ac:dyDescent="0.25">
      <c r="A80" s="22" t="s">
        <v>73</v>
      </c>
    </row>
    <row r="81" spans="1:1" x14ac:dyDescent="0.25">
      <c r="A81" s="22" t="s">
        <v>74</v>
      </c>
    </row>
  </sheetData>
  <mergeCells count="2">
    <mergeCell ref="A2:D2"/>
    <mergeCell ref="A4:A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1"/>
  <sheetViews>
    <sheetView zoomScale="70" zoomScaleNormal="70" workbookViewId="0">
      <selection activeCell="A76" sqref="A76"/>
    </sheetView>
  </sheetViews>
  <sheetFormatPr baseColWidth="10" defaultRowHeight="15" x14ac:dyDescent="0.2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6.85546875" bestFit="1" customWidth="1"/>
  </cols>
  <sheetData>
    <row r="2" spans="1:6" ht="15.75" x14ac:dyDescent="0.25">
      <c r="A2" s="26" t="s">
        <v>137</v>
      </c>
      <c r="B2" s="26"/>
      <c r="C2" s="26"/>
      <c r="D2" s="26"/>
    </row>
    <row r="4" spans="1:6" x14ac:dyDescent="0.25">
      <c r="A4" s="27" t="s">
        <v>0</v>
      </c>
      <c r="B4" s="29" t="s">
        <v>81</v>
      </c>
      <c r="C4" s="18" t="s">
        <v>2</v>
      </c>
      <c r="D4" s="1" t="s">
        <v>5</v>
      </c>
      <c r="E4" s="1" t="s">
        <v>147</v>
      </c>
    </row>
    <row r="5" spans="1:6" ht="15.75" thickBot="1" x14ac:dyDescent="0.3">
      <c r="A5" s="28"/>
      <c r="B5" s="30"/>
      <c r="C5" s="2" t="s">
        <v>4</v>
      </c>
      <c r="D5" s="2" t="s">
        <v>79</v>
      </c>
      <c r="E5" s="2" t="s">
        <v>148</v>
      </c>
    </row>
    <row r="6" spans="1:6" ht="15.75" thickTop="1" x14ac:dyDescent="0.25"/>
    <row r="7" spans="1:6" x14ac:dyDescent="0.25">
      <c r="A7" s="3" t="s">
        <v>6</v>
      </c>
    </row>
    <row r="9" spans="1:6" x14ac:dyDescent="0.25">
      <c r="A9" t="s">
        <v>7</v>
      </c>
    </row>
    <row r="10" spans="1:6" x14ac:dyDescent="0.25">
      <c r="A10" s="4" t="s">
        <v>56</v>
      </c>
      <c r="B10" s="7">
        <f>C10</f>
        <v>723</v>
      </c>
      <c r="C10" s="7">
        <f>+('I Trimestre'!C10+'II Trimestre'!C10+'III Trimestre'!C10+'IV Trimestre'!C10)</f>
        <v>723</v>
      </c>
      <c r="D10" s="5"/>
    </row>
    <row r="11" spans="1:6" x14ac:dyDescent="0.25">
      <c r="A11" s="4" t="s">
        <v>138</v>
      </c>
      <c r="B11" s="7">
        <f>C11</f>
        <v>600</v>
      </c>
      <c r="C11" s="7">
        <f>+('I Trimestre'!C11+'II Trimestre'!C11+'III Trimestre'!C11+'IV Trimestre'!C11)</f>
        <v>600</v>
      </c>
      <c r="D11" s="5"/>
    </row>
    <row r="12" spans="1:6" x14ac:dyDescent="0.25">
      <c r="A12" s="4" t="s">
        <v>139</v>
      </c>
      <c r="B12" s="7">
        <f>C12</f>
        <v>752</v>
      </c>
      <c r="C12" s="7">
        <f>+('I Trimestre'!C12+'II Trimestre'!C12+'III Trimestre'!C12+'IV Trimestre'!C12)</f>
        <v>752</v>
      </c>
      <c r="D12" s="5"/>
    </row>
    <row r="13" spans="1:6" x14ac:dyDescent="0.25">
      <c r="A13" s="4" t="s">
        <v>85</v>
      </c>
      <c r="B13" s="7">
        <f>C13</f>
        <v>1800</v>
      </c>
      <c r="C13" s="7">
        <f>+('I Trimestre'!C13+'II Trimestre'!C13+'III Trimestre'!C13+'IV Trimestre'!C13)/4</f>
        <v>1800</v>
      </c>
      <c r="D13" s="5"/>
    </row>
    <row r="14" spans="1:6" x14ac:dyDescent="0.25">
      <c r="B14" s="5"/>
      <c r="C14" s="5"/>
      <c r="D14" s="5"/>
    </row>
    <row r="15" spans="1:6" x14ac:dyDescent="0.25">
      <c r="A15" s="6" t="s">
        <v>9</v>
      </c>
      <c r="B15" s="5"/>
      <c r="C15" s="5"/>
      <c r="D15" s="5"/>
    </row>
    <row r="16" spans="1:6" x14ac:dyDescent="0.25">
      <c r="A16" s="4" t="s">
        <v>57</v>
      </c>
      <c r="B16" s="9">
        <f>SUM(C16:D16)</f>
        <v>1041998103.5</v>
      </c>
      <c r="C16" s="9">
        <f>+'I Trimestre'!C16+'II Trimestre'!C16+'III Trimestre'!C16+'IV Trimestre'!C16</f>
        <v>892325653.5</v>
      </c>
      <c r="D16" s="9">
        <f>+'I Trimestre'!D16+'II Trimestre'!D16+'III Trimestre'!D16+'IV Trimestre'!D16</f>
        <v>149672450</v>
      </c>
      <c r="E16" s="19"/>
      <c r="F16" s="20"/>
    </row>
    <row r="17" spans="1:4" x14ac:dyDescent="0.25">
      <c r="A17" s="4" t="s">
        <v>140</v>
      </c>
      <c r="B17" s="7">
        <f>SUM(C17:D17)</f>
        <v>1031160000</v>
      </c>
      <c r="C17" s="9">
        <f>+'I Trimestre'!C17+'II Trimestre'!C17+'III Trimestre'!C17+'IV Trimestre'!C17</f>
        <v>881160000</v>
      </c>
      <c r="D17" s="9">
        <f>+'I Trimestre'!D17+'II Trimestre'!D17+'III Trimestre'!D17+'IV Trimestre'!D17</f>
        <v>150000000</v>
      </c>
    </row>
    <row r="18" spans="1:4" x14ac:dyDescent="0.25">
      <c r="A18" s="4" t="s">
        <v>141</v>
      </c>
      <c r="B18" s="9">
        <f>SUM(C18:D18)</f>
        <v>769906394.26999998</v>
      </c>
      <c r="C18" s="9">
        <f>+'I Trimestre'!C18+'II Trimestre'!C18+'III Trimestre'!C18+'IV Trimestre'!C18</f>
        <v>769706394.26999998</v>
      </c>
      <c r="D18" s="9">
        <f>+'I Trimestre'!D18+'II Trimestre'!D18+'III Trimestre'!D18+'IV Trimestre'!D18</f>
        <v>200000</v>
      </c>
    </row>
    <row r="19" spans="1:4" x14ac:dyDescent="0.25">
      <c r="A19" s="4" t="s">
        <v>85</v>
      </c>
      <c r="B19" s="7">
        <f>+'IV Trimestre'!B19</f>
        <v>1081161198</v>
      </c>
      <c r="C19" s="7">
        <f>+'IV Trimestre'!C19</f>
        <v>881161198</v>
      </c>
      <c r="D19" s="7">
        <f>+'IV Trimestre'!D19</f>
        <v>150000000</v>
      </c>
    </row>
    <row r="20" spans="1:4" x14ac:dyDescent="0.25">
      <c r="A20" s="4" t="s">
        <v>142</v>
      </c>
      <c r="B20" s="7">
        <f>C20</f>
        <v>0</v>
      </c>
      <c r="C20" s="7">
        <f t="shared" ref="C20:D20" si="0">D20</f>
        <v>0</v>
      </c>
      <c r="D20" s="7">
        <f t="shared" si="0"/>
        <v>0</v>
      </c>
    </row>
    <row r="21" spans="1:4" x14ac:dyDescent="0.25">
      <c r="B21" s="7"/>
      <c r="C21" s="7"/>
      <c r="D21" s="7"/>
    </row>
    <row r="22" spans="1:4" x14ac:dyDescent="0.25">
      <c r="A22" s="8" t="s">
        <v>11</v>
      </c>
      <c r="B22" s="9"/>
      <c r="C22" s="9"/>
      <c r="D22" s="9"/>
    </row>
    <row r="23" spans="1:4" x14ac:dyDescent="0.25">
      <c r="A23" s="10" t="s">
        <v>138</v>
      </c>
      <c r="B23" s="9">
        <f>B17</f>
        <v>1031160000</v>
      </c>
      <c r="C23" s="9"/>
      <c r="D23" s="9"/>
    </row>
    <row r="24" spans="1:4" x14ac:dyDescent="0.25">
      <c r="A24" s="10" t="s">
        <v>139</v>
      </c>
      <c r="B24" s="7">
        <f>'I Trimestre'!B24+'II Trimestre'!B24+'III Trimestre'!B24+'IV Trimestre'!B24</f>
        <v>837965868.99000001</v>
      </c>
      <c r="C24" s="9"/>
      <c r="D24" s="9"/>
    </row>
    <row r="25" spans="1:4" x14ac:dyDescent="0.25">
      <c r="A25" s="11"/>
      <c r="B25" s="11"/>
      <c r="C25" s="11"/>
      <c r="D25" s="11"/>
    </row>
    <row r="26" spans="1:4" x14ac:dyDescent="0.25">
      <c r="A26" s="11" t="s">
        <v>12</v>
      </c>
      <c r="B26" s="11"/>
      <c r="C26" s="11"/>
      <c r="D26" s="11"/>
    </row>
    <row r="27" spans="1:4" x14ac:dyDescent="0.25">
      <c r="A27" s="10" t="s">
        <v>58</v>
      </c>
      <c r="B27" s="17">
        <v>1.4683304717083334</v>
      </c>
      <c r="C27" s="17">
        <v>1.4683304717083334</v>
      </c>
      <c r="D27" s="17">
        <v>1.4683304717083301</v>
      </c>
    </row>
    <row r="28" spans="1:4" x14ac:dyDescent="0.25">
      <c r="A28" s="10" t="s">
        <v>143</v>
      </c>
      <c r="B28" s="17">
        <v>1.53</v>
      </c>
      <c r="C28" s="17">
        <v>1.53</v>
      </c>
      <c r="D28" s="17">
        <v>1.53</v>
      </c>
    </row>
    <row r="29" spans="1:4" x14ac:dyDescent="0.25">
      <c r="A29" s="10" t="s">
        <v>14</v>
      </c>
      <c r="B29" s="9">
        <v>642</v>
      </c>
      <c r="C29" s="9"/>
      <c r="D29" s="9"/>
    </row>
    <row r="30" spans="1:4" x14ac:dyDescent="0.25">
      <c r="A30" s="11"/>
      <c r="B30" s="11"/>
      <c r="C30" s="11"/>
      <c r="D30" s="11"/>
    </row>
    <row r="31" spans="1:4" x14ac:dyDescent="0.25">
      <c r="A31" s="12" t="s">
        <v>15</v>
      </c>
      <c r="B31" s="11"/>
      <c r="C31" s="11"/>
      <c r="D31" s="11"/>
    </row>
    <row r="32" spans="1:4" x14ac:dyDescent="0.25">
      <c r="A32" s="11" t="s">
        <v>59</v>
      </c>
      <c r="B32" s="9">
        <f>B16/B27</f>
        <v>709648218.55646992</v>
      </c>
      <c r="C32" s="9">
        <f>C16/C27</f>
        <v>607714455.7667737</v>
      </c>
      <c r="D32" s="9">
        <f>D16/D27</f>
        <v>101933762.78969644</v>
      </c>
    </row>
    <row r="33" spans="1:8" x14ac:dyDescent="0.25">
      <c r="A33" s="11" t="s">
        <v>144</v>
      </c>
      <c r="B33" s="9">
        <f>B18/B28</f>
        <v>503206793.64052284</v>
      </c>
      <c r="C33" s="9">
        <f>C18/C28</f>
        <v>503076074.68627447</v>
      </c>
      <c r="D33" s="9">
        <f>D18/D28</f>
        <v>130718.954248366</v>
      </c>
    </row>
    <row r="34" spans="1:8" x14ac:dyDescent="0.25">
      <c r="A34" s="11" t="s">
        <v>60</v>
      </c>
      <c r="B34" s="9">
        <f>B32/B10</f>
        <v>981532.805748921</v>
      </c>
      <c r="C34" s="9">
        <f t="shared" ref="C34" si="1">C32/C10</f>
        <v>840545.58197340765</v>
      </c>
      <c r="D34" s="9"/>
    </row>
    <row r="35" spans="1:8" x14ac:dyDescent="0.25">
      <c r="A35" s="11" t="s">
        <v>145</v>
      </c>
      <c r="B35" s="9">
        <f>B33/B12</f>
        <v>669157.97026665276</v>
      </c>
      <c r="C35" s="9">
        <f>C33/C12</f>
        <v>668984.1418700458</v>
      </c>
      <c r="D35" s="9"/>
    </row>
    <row r="37" spans="1:8" x14ac:dyDescent="0.25">
      <c r="A37" s="3" t="s">
        <v>18</v>
      </c>
    </row>
    <row r="39" spans="1:8" x14ac:dyDescent="0.25">
      <c r="A39" t="s">
        <v>19</v>
      </c>
    </row>
    <row r="40" spans="1:8" x14ac:dyDescent="0.25">
      <c r="A40" t="s">
        <v>20</v>
      </c>
      <c r="B40" s="15">
        <f>(B11*100)/(B29)</f>
        <v>93.45794392523365</v>
      </c>
      <c r="C40" s="15" t="e">
        <f>(C11*100)/(C29)</f>
        <v>#DIV/0!</v>
      </c>
      <c r="D40" s="13"/>
      <c r="E40" s="11"/>
      <c r="F40" s="11"/>
      <c r="G40" s="11"/>
      <c r="H40" s="11"/>
    </row>
    <row r="41" spans="1:8" x14ac:dyDescent="0.25">
      <c r="A41" t="s">
        <v>21</v>
      </c>
      <c r="B41" s="15">
        <f>(B12*100)/(B29)</f>
        <v>117.13395638629284</v>
      </c>
      <c r="C41" s="15" t="e">
        <f>(C12*100)/(C29)</f>
        <v>#DIV/0!</v>
      </c>
      <c r="D41" s="13"/>
    </row>
    <row r="43" spans="1:8" x14ac:dyDescent="0.25">
      <c r="A43" t="s">
        <v>22</v>
      </c>
    </row>
    <row r="44" spans="1:8" x14ac:dyDescent="0.25">
      <c r="A44" t="s">
        <v>23</v>
      </c>
      <c r="B44" s="14">
        <f>B12/B11*100</f>
        <v>125.33333333333334</v>
      </c>
      <c r="C44" s="14">
        <f>C12/C11*100</f>
        <v>125.33333333333334</v>
      </c>
      <c r="D44" s="14"/>
    </row>
    <row r="45" spans="1:8" x14ac:dyDescent="0.25">
      <c r="A45" t="s">
        <v>24</v>
      </c>
      <c r="B45" s="14">
        <f>B18/B17*100</f>
        <v>74.664105887544125</v>
      </c>
      <c r="C45" s="14">
        <f>C18/C17*100</f>
        <v>87.351490565845026</v>
      </c>
      <c r="D45" s="14">
        <f>D18/D17*100</f>
        <v>0.13333333333333333</v>
      </c>
    </row>
    <row r="46" spans="1:8" x14ac:dyDescent="0.25">
      <c r="A46" s="11" t="s">
        <v>25</v>
      </c>
      <c r="B46" s="13">
        <f>AVERAGE(B44:B45)</f>
        <v>99.998719610438741</v>
      </c>
      <c r="C46" s="13">
        <f>AVERAGE(C44:C45)</f>
        <v>106.34241194958918</v>
      </c>
      <c r="D46" s="13"/>
    </row>
    <row r="47" spans="1:8" x14ac:dyDescent="0.25">
      <c r="A47" s="11"/>
      <c r="B47" s="13"/>
      <c r="C47" s="13"/>
      <c r="D47" s="13"/>
    </row>
    <row r="48" spans="1:8" x14ac:dyDescent="0.25">
      <c r="A48" s="11" t="s">
        <v>26</v>
      </c>
      <c r="B48" s="11"/>
      <c r="C48" s="11"/>
      <c r="D48" s="11"/>
    </row>
    <row r="49" spans="1:4" x14ac:dyDescent="0.25">
      <c r="A49" s="11" t="s">
        <v>27</v>
      </c>
      <c r="B49" s="13">
        <f>B12/(B13)*100</f>
        <v>41.777777777777779</v>
      </c>
      <c r="C49" s="13">
        <f>C12/(C13)*100</f>
        <v>41.777777777777779</v>
      </c>
      <c r="D49" s="13"/>
    </row>
    <row r="50" spans="1:4" x14ac:dyDescent="0.25">
      <c r="A50" s="11" t="s">
        <v>28</v>
      </c>
      <c r="B50" s="13">
        <f>B18/B19*100</f>
        <v>71.211064149751323</v>
      </c>
      <c r="C50" s="13">
        <f>C18/C19*100</f>
        <v>87.351371805411702</v>
      </c>
      <c r="D50" s="13">
        <f>D18/D19*100</f>
        <v>0.13333333333333333</v>
      </c>
    </row>
    <row r="51" spans="1:4" x14ac:dyDescent="0.25">
      <c r="A51" s="11" t="s">
        <v>29</v>
      </c>
      <c r="B51" s="13">
        <f>(B49+B50)/2</f>
        <v>56.494420963764554</v>
      </c>
      <c r="C51" s="13">
        <f>(C49+C50)/2</f>
        <v>64.564574791594737</v>
      </c>
      <c r="D51" s="13"/>
    </row>
    <row r="52" spans="1:4" x14ac:dyDescent="0.25">
      <c r="A52" s="11"/>
      <c r="B52" s="11"/>
      <c r="C52" s="11"/>
      <c r="D52" s="11"/>
    </row>
    <row r="53" spans="1:4" x14ac:dyDescent="0.25">
      <c r="A53" s="11" t="s">
        <v>71</v>
      </c>
      <c r="B53" s="11"/>
      <c r="C53" s="11"/>
      <c r="D53" s="11"/>
    </row>
    <row r="54" spans="1:4" x14ac:dyDescent="0.25">
      <c r="A54" s="11" t="s">
        <v>30</v>
      </c>
      <c r="B54" s="15">
        <f>B20/B18*100</f>
        <v>0</v>
      </c>
      <c r="C54" s="13"/>
      <c r="D54" s="13"/>
    </row>
    <row r="55" spans="1:4" x14ac:dyDescent="0.25">
      <c r="A55" s="11"/>
      <c r="B55" s="11"/>
      <c r="C55" s="11"/>
      <c r="D55" s="11"/>
    </row>
    <row r="56" spans="1:4" x14ac:dyDescent="0.25">
      <c r="A56" s="11" t="s">
        <v>31</v>
      </c>
      <c r="B56" s="11"/>
      <c r="C56" s="11"/>
      <c r="D56" s="11"/>
    </row>
    <row r="57" spans="1:4" x14ac:dyDescent="0.25">
      <c r="A57" s="11" t="s">
        <v>32</v>
      </c>
      <c r="B57" s="14">
        <f>((B12/B10)-1)*100</f>
        <v>4.0110650069156373</v>
      </c>
      <c r="C57" s="14"/>
      <c r="D57" s="13"/>
    </row>
    <row r="58" spans="1:4" x14ac:dyDescent="0.25">
      <c r="A58" s="11" t="s">
        <v>33</v>
      </c>
      <c r="B58" s="14">
        <f>((B33/B32)-1)*100</f>
        <v>-29.090670492470149</v>
      </c>
      <c r="C58" s="14">
        <f>((C33/C32)-1)*100</f>
        <v>-17.218346558577991</v>
      </c>
      <c r="D58" s="14">
        <f>((D33/D32)-1)*100</f>
        <v>-99.871760886019629</v>
      </c>
    </row>
    <row r="59" spans="1:4" x14ac:dyDescent="0.25">
      <c r="A59" s="11" t="s">
        <v>34</v>
      </c>
      <c r="B59" s="14">
        <f>((B35/B34)-1)*100</f>
        <v>-31.825205805925417</v>
      </c>
      <c r="C59" s="14">
        <f>((C35/C34)-1)*100</f>
        <v>-20.410724151398796</v>
      </c>
      <c r="D59" s="14"/>
    </row>
    <row r="60" spans="1:4" x14ac:dyDescent="0.25">
      <c r="A60" s="11"/>
      <c r="B60" s="13"/>
      <c r="C60" s="13"/>
      <c r="D60" s="13"/>
    </row>
    <row r="61" spans="1:4" x14ac:dyDescent="0.25">
      <c r="A61" s="11" t="s">
        <v>35</v>
      </c>
      <c r="B61" s="11"/>
      <c r="C61" s="11"/>
      <c r="D61" s="11"/>
    </row>
    <row r="62" spans="1:4" x14ac:dyDescent="0.25">
      <c r="A62" t="s">
        <v>75</v>
      </c>
      <c r="B62" s="9">
        <f>B17/(B11*12)</f>
        <v>143216.66666666666</v>
      </c>
      <c r="C62" s="9">
        <f>C17/(C11*12)</f>
        <v>122383.33333333333</v>
      </c>
      <c r="D62" s="9"/>
    </row>
    <row r="63" spans="1:4" x14ac:dyDescent="0.25">
      <c r="A63" t="s">
        <v>76</v>
      </c>
      <c r="B63" s="9">
        <f>B18/(B12*12)</f>
        <v>85317.641208998219</v>
      </c>
      <c r="C63" s="9">
        <f>C18/(C12*12)</f>
        <v>85295.478088430842</v>
      </c>
      <c r="D63" s="9"/>
    </row>
    <row r="64" spans="1:4" x14ac:dyDescent="0.25">
      <c r="A64" s="11" t="s">
        <v>36</v>
      </c>
      <c r="B64" s="9">
        <f>(B62/B63)*B46</f>
        <v>167.86075060911577</v>
      </c>
      <c r="C64" s="9">
        <f>(C62/C63)*C46</f>
        <v>152.58181489532521</v>
      </c>
      <c r="D64" s="13"/>
    </row>
    <row r="65" spans="1:4" x14ac:dyDescent="0.25">
      <c r="A65" s="13" t="s">
        <v>77</v>
      </c>
      <c r="B65" s="9">
        <f>B17/B11</f>
        <v>1718600</v>
      </c>
      <c r="C65" s="9">
        <f>C17/C11</f>
        <v>1468600</v>
      </c>
      <c r="D65" s="13"/>
    </row>
    <row r="66" spans="1:4" x14ac:dyDescent="0.25">
      <c r="A66" s="13" t="s">
        <v>78</v>
      </c>
      <c r="B66" s="9">
        <f>B18/B12</f>
        <v>1023811.6945079787</v>
      </c>
      <c r="C66" s="9">
        <f>C18/C12</f>
        <v>1023545.7370611702</v>
      </c>
      <c r="D66" s="13"/>
    </row>
    <row r="67" spans="1:4" x14ac:dyDescent="0.25">
      <c r="B67" s="9"/>
      <c r="C67" s="9"/>
      <c r="D67" s="14"/>
    </row>
    <row r="68" spans="1:4" x14ac:dyDescent="0.25">
      <c r="A68" t="s">
        <v>37</v>
      </c>
      <c r="B68" s="14"/>
      <c r="C68" s="14"/>
      <c r="D68" s="14"/>
    </row>
    <row r="69" spans="1:4" x14ac:dyDescent="0.25">
      <c r="A69" s="11" t="s">
        <v>38</v>
      </c>
      <c r="B69" s="13">
        <f>(B24/B23)*100</f>
        <v>81.264388551728146</v>
      </c>
      <c r="C69" s="13"/>
      <c r="D69" s="13"/>
    </row>
    <row r="70" spans="1:4" x14ac:dyDescent="0.25">
      <c r="A70" s="11" t="s">
        <v>39</v>
      </c>
      <c r="B70" s="13">
        <f>(B18/B24)*100</f>
        <v>91.878013504054508</v>
      </c>
      <c r="C70" s="13"/>
      <c r="D70" s="13"/>
    </row>
    <row r="71" spans="1:4" ht="15.75" thickBot="1" x14ac:dyDescent="0.3">
      <c r="A71" s="16"/>
      <c r="B71" s="16"/>
      <c r="C71" s="16"/>
      <c r="D71" s="16"/>
    </row>
    <row r="72" spans="1:4" ht="15.75" thickTop="1" x14ac:dyDescent="0.25"/>
    <row r="73" spans="1:4" x14ac:dyDescent="0.25">
      <c r="A73" t="s">
        <v>40</v>
      </c>
    </row>
    <row r="74" spans="1:4" x14ac:dyDescent="0.25">
      <c r="A74" t="s">
        <v>150</v>
      </c>
    </row>
    <row r="75" spans="1:4" x14ac:dyDescent="0.25">
      <c r="A75" t="s">
        <v>92</v>
      </c>
      <c r="B75" s="5"/>
      <c r="C75" s="5"/>
      <c r="D75" s="5"/>
    </row>
    <row r="78" spans="1:4" x14ac:dyDescent="0.25">
      <c r="A78" t="s">
        <v>72</v>
      </c>
    </row>
    <row r="79" spans="1:4" x14ac:dyDescent="0.25">
      <c r="A79" s="21" t="s">
        <v>80</v>
      </c>
    </row>
    <row r="80" spans="1:4" x14ac:dyDescent="0.25">
      <c r="A80" s="22" t="s">
        <v>73</v>
      </c>
    </row>
    <row r="81" spans="1:1" x14ac:dyDescent="0.25">
      <c r="A81" s="22" t="s">
        <v>74</v>
      </c>
    </row>
  </sheetData>
  <mergeCells count="3">
    <mergeCell ref="A2:D2"/>
    <mergeCell ref="A4:A5"/>
    <mergeCell ref="B4:B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3 Trimestre Acumulado</vt:lpstr>
      <vt:lpstr>Anual 2012</vt:lpstr>
    </vt:vector>
  </TitlesOfParts>
  <Company>FAM ASTORGA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NASTORGA</dc:creator>
  <cp:lastModifiedBy>Sayra Rojas Rios</cp:lastModifiedBy>
  <dcterms:created xsi:type="dcterms:W3CDTF">2012-04-21T15:36:23Z</dcterms:created>
  <dcterms:modified xsi:type="dcterms:W3CDTF">2013-10-29T20:12:45Z</dcterms:modified>
</cp:coreProperties>
</file>