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ocuments\Hermes Cliente\files\"/>
    </mc:Choice>
  </mc:AlternateContent>
  <bookViews>
    <workbookView xWindow="600" yWindow="30" windowWidth="14115" windowHeight="8220" activeTab="5"/>
  </bookViews>
  <sheets>
    <sheet name="I Trimestre" sheetId="2" r:id="rId1"/>
    <sheet name="II Trimestre" sheetId="1" r:id="rId2"/>
    <sheet name="III Trimestre" sheetId="3" r:id="rId3"/>
    <sheet name="IV Trimestre" sheetId="4" r:id="rId4"/>
    <sheet name="I Semestre" sheetId="5" r:id="rId5"/>
    <sheet name="III T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D40" i="2" l="1"/>
  <c r="E40" i="2"/>
  <c r="F40" i="2"/>
  <c r="G40" i="2"/>
  <c r="H40" i="2"/>
  <c r="F41" i="2"/>
  <c r="H41" i="2"/>
  <c r="D40" i="1"/>
  <c r="E40" i="1"/>
  <c r="F40" i="1"/>
  <c r="G40" i="1"/>
  <c r="H40" i="1"/>
  <c r="H41" i="1"/>
  <c r="D40" i="3"/>
  <c r="E40" i="3"/>
  <c r="F40" i="3"/>
  <c r="G40" i="3"/>
  <c r="H41" i="3"/>
  <c r="D40" i="4"/>
  <c r="E40" i="4"/>
  <c r="F40" i="4"/>
  <c r="G40" i="4"/>
  <c r="H40" i="4"/>
  <c r="H41" i="4"/>
  <c r="D64" i="4"/>
  <c r="E64" i="4"/>
  <c r="F64" i="4"/>
  <c r="G64" i="4"/>
  <c r="H64" i="4"/>
  <c r="H65" i="4"/>
  <c r="D64" i="3"/>
  <c r="E64" i="3"/>
  <c r="F64" i="3"/>
  <c r="G64" i="3"/>
  <c r="H65" i="3"/>
  <c r="D64" i="1"/>
  <c r="E64" i="1"/>
  <c r="F64" i="1"/>
  <c r="G64" i="1"/>
  <c r="H64" i="1"/>
  <c r="H65" i="1"/>
  <c r="D64" i="2"/>
  <c r="E64" i="2"/>
  <c r="F64" i="2"/>
  <c r="G64" i="2"/>
  <c r="H64" i="2"/>
  <c r="F65" i="2"/>
  <c r="H65" i="2"/>
  <c r="B29" i="7"/>
  <c r="B29" i="6"/>
  <c r="B29" i="5"/>
  <c r="B29" i="4"/>
  <c r="B29" i="3"/>
  <c r="B29" i="1"/>
  <c r="B29" i="2"/>
  <c r="H12" i="5" l="1"/>
  <c r="H41" i="5" s="1"/>
  <c r="H12" i="6"/>
  <c r="H41" i="6" s="1"/>
  <c r="H12" i="7"/>
  <c r="H41" i="7" s="1"/>
  <c r="G12" i="4"/>
  <c r="F12" i="4"/>
  <c r="E12" i="4"/>
  <c r="E41" i="4" l="1"/>
  <c r="E65" i="4"/>
  <c r="F41" i="4"/>
  <c r="F65" i="4"/>
  <c r="G41" i="4"/>
  <c r="G65" i="4"/>
  <c r="D12" i="4"/>
  <c r="C12" i="4"/>
  <c r="C65" i="4" s="1"/>
  <c r="G12" i="3"/>
  <c r="F12" i="3"/>
  <c r="E12" i="3"/>
  <c r="D12" i="3"/>
  <c r="C12" i="3"/>
  <c r="C65" i="3" s="1"/>
  <c r="G12" i="1"/>
  <c r="F12" i="1"/>
  <c r="E12" i="1"/>
  <c r="D12" i="1"/>
  <c r="C12" i="1"/>
  <c r="C65" i="1" s="1"/>
  <c r="E12" i="2"/>
  <c r="D12" i="2"/>
  <c r="G12" i="2"/>
  <c r="C12" i="2"/>
  <c r="C65" i="2" l="1"/>
  <c r="C12" i="7"/>
  <c r="C12" i="6"/>
  <c r="C12" i="5"/>
  <c r="F65" i="3"/>
  <c r="F41" i="3"/>
  <c r="G41" i="2"/>
  <c r="G65" i="2"/>
  <c r="G12" i="6"/>
  <c r="G41" i="6" s="1"/>
  <c r="G12" i="5"/>
  <c r="G41" i="5" s="1"/>
  <c r="G12" i="7"/>
  <c r="G41" i="7" s="1"/>
  <c r="D41" i="2"/>
  <c r="D65" i="2"/>
  <c r="D12" i="5"/>
  <c r="D41" i="5" s="1"/>
  <c r="D12" i="7"/>
  <c r="D41" i="7" s="1"/>
  <c r="D12" i="6"/>
  <c r="D41" i="6" s="1"/>
  <c r="E41" i="1"/>
  <c r="E65" i="1"/>
  <c r="D41" i="3"/>
  <c r="D65" i="3"/>
  <c r="E65" i="2"/>
  <c r="E41" i="2"/>
  <c r="E12" i="5"/>
  <c r="E41" i="5" s="1"/>
  <c r="E12" i="6"/>
  <c r="E41" i="6" s="1"/>
  <c r="E12" i="7"/>
  <c r="E41" i="7" s="1"/>
  <c r="F41" i="1"/>
  <c r="F65" i="1"/>
  <c r="F12" i="6"/>
  <c r="F41" i="6" s="1"/>
  <c r="F12" i="5"/>
  <c r="F41" i="5" s="1"/>
  <c r="F12" i="7"/>
  <c r="F41" i="7" s="1"/>
  <c r="E65" i="3"/>
  <c r="E41" i="3"/>
  <c r="D41" i="4"/>
  <c r="D65" i="4"/>
  <c r="G41" i="1"/>
  <c r="G65" i="1"/>
  <c r="D41" i="1"/>
  <c r="D65" i="1"/>
  <c r="G41" i="3"/>
  <c r="G65" i="3"/>
  <c r="C17" i="4"/>
  <c r="C17" i="3"/>
  <c r="C64" i="3" s="1"/>
  <c r="C17" i="1"/>
  <c r="C17" i="2"/>
  <c r="C64" i="2" s="1"/>
  <c r="C11" i="4"/>
  <c r="H11" i="3"/>
  <c r="C11" i="3"/>
  <c r="C11" i="1"/>
  <c r="C11" i="2"/>
  <c r="G13" i="7"/>
  <c r="F13" i="7"/>
  <c r="E13" i="7"/>
  <c r="D13" i="7"/>
  <c r="C13" i="7"/>
  <c r="G13" i="6"/>
  <c r="F13" i="6"/>
  <c r="E13" i="6"/>
  <c r="D13" i="6"/>
  <c r="C13" i="6"/>
  <c r="C13" i="3"/>
  <c r="C13" i="4"/>
  <c r="C13" i="5"/>
  <c r="G13" i="1"/>
  <c r="F13" i="1"/>
  <c r="E13" i="1"/>
  <c r="D13" i="1"/>
  <c r="C13" i="1"/>
  <c r="C13" i="2"/>
  <c r="C64" i="1" l="1"/>
  <c r="H40" i="3"/>
  <c r="H64" i="3"/>
  <c r="C64" i="4"/>
  <c r="E20" i="4"/>
  <c r="F20" i="4"/>
  <c r="G20" i="4"/>
  <c r="H20" i="4"/>
  <c r="D20" i="4"/>
  <c r="E20" i="3"/>
  <c r="F20" i="3"/>
  <c r="G20" i="3"/>
  <c r="H20" i="3"/>
  <c r="D20" i="3"/>
  <c r="E20" i="1"/>
  <c r="F20" i="1"/>
  <c r="G20" i="1"/>
  <c r="H20" i="1"/>
  <c r="D20" i="1"/>
  <c r="E20" i="2"/>
  <c r="F20" i="2"/>
  <c r="F53" i="2" s="1"/>
  <c r="G20" i="2"/>
  <c r="G53" i="2" s="1"/>
  <c r="H20" i="2"/>
  <c r="H53" i="2" s="1"/>
  <c r="D20" i="2"/>
  <c r="H11" i="5" l="1"/>
  <c r="H40" i="5" s="1"/>
  <c r="H11" i="7"/>
  <c r="H40" i="7" s="1"/>
  <c r="G11" i="7"/>
  <c r="G40" i="7" s="1"/>
  <c r="F11" i="7"/>
  <c r="F40" i="7" s="1"/>
  <c r="E11" i="7"/>
  <c r="E40" i="7" s="1"/>
  <c r="G13" i="4" l="1"/>
  <c r="F13" i="4"/>
  <c r="E13" i="4"/>
  <c r="D13" i="4"/>
  <c r="G13" i="3"/>
  <c r="F13" i="3"/>
  <c r="E13" i="3"/>
  <c r="D13" i="3"/>
  <c r="G13" i="2"/>
  <c r="F13" i="2"/>
  <c r="E13" i="2"/>
  <c r="D13" i="2"/>
  <c r="G13" i="5"/>
  <c r="F13" i="5"/>
  <c r="E13" i="5"/>
  <c r="D13" i="5"/>
  <c r="G10" i="4"/>
  <c r="F10" i="4"/>
  <c r="E10" i="4"/>
  <c r="D10" i="4"/>
  <c r="C10" i="4"/>
  <c r="G10" i="3"/>
  <c r="F10" i="3"/>
  <c r="E10" i="3"/>
  <c r="D10" i="3"/>
  <c r="C10" i="3"/>
  <c r="G10" i="1"/>
  <c r="F10" i="1"/>
  <c r="E10" i="1"/>
  <c r="D10" i="1"/>
  <c r="C10" i="1"/>
  <c r="G10" i="2"/>
  <c r="F10" i="2"/>
  <c r="E10" i="2"/>
  <c r="D10" i="2"/>
  <c r="C10" i="2"/>
  <c r="H61" i="4" l="1"/>
  <c r="H62" i="3"/>
  <c r="H61" i="3"/>
  <c r="H62" i="1"/>
  <c r="H61" i="1"/>
  <c r="D62" i="2"/>
  <c r="E62" i="2"/>
  <c r="F62" i="2"/>
  <c r="G62" i="2"/>
  <c r="H62" i="2"/>
  <c r="H61" i="2"/>
  <c r="D11" i="7" l="1"/>
  <c r="D40" i="7" s="1"/>
  <c r="D10" i="7"/>
  <c r="C11" i="7"/>
  <c r="C10" i="7"/>
  <c r="H11" i="6"/>
  <c r="H40" i="6" s="1"/>
  <c r="H10" i="6"/>
  <c r="G11" i="6"/>
  <c r="G40" i="6" s="1"/>
  <c r="G10" i="6"/>
  <c r="F11" i="6"/>
  <c r="F40" i="6" s="1"/>
  <c r="F10" i="6"/>
  <c r="E11" i="6"/>
  <c r="E40" i="6" s="1"/>
  <c r="E10" i="6"/>
  <c r="D11" i="6"/>
  <c r="D40" i="6" s="1"/>
  <c r="D10" i="6"/>
  <c r="C11" i="6"/>
  <c r="C10" i="6"/>
  <c r="G11" i="5"/>
  <c r="G40" i="5" s="1"/>
  <c r="G10" i="5"/>
  <c r="F11" i="5"/>
  <c r="F40" i="5" s="1"/>
  <c r="F10" i="5"/>
  <c r="E11" i="5"/>
  <c r="E40" i="5" s="1"/>
  <c r="E10" i="5"/>
  <c r="D11" i="5"/>
  <c r="D40" i="5" s="1"/>
  <c r="D10" i="5"/>
  <c r="C11" i="5"/>
  <c r="C10" i="5"/>
  <c r="C40" i="4"/>
  <c r="C40" i="3"/>
  <c r="C40" i="1"/>
  <c r="C40" i="6" l="1"/>
  <c r="C40" i="5"/>
  <c r="C40" i="7"/>
  <c r="C40" i="2"/>
  <c r="C20" i="4" l="1"/>
  <c r="C20" i="3"/>
  <c r="C20" i="1"/>
  <c r="C20" i="2"/>
  <c r="C62" i="1"/>
  <c r="C41" i="2"/>
  <c r="D62" i="1" l="1"/>
  <c r="F62" i="1"/>
  <c r="C41" i="6"/>
  <c r="C41" i="3"/>
  <c r="E62" i="3"/>
  <c r="G62" i="3"/>
  <c r="C62" i="3"/>
  <c r="C41" i="5"/>
  <c r="C41" i="1"/>
  <c r="E62" i="1"/>
  <c r="G62" i="1"/>
  <c r="D62" i="3"/>
  <c r="F62" i="3"/>
  <c r="C41" i="7"/>
  <c r="C41" i="4"/>
  <c r="C62" i="4"/>
  <c r="C62" i="2"/>
  <c r="B24" i="7"/>
  <c r="E18" i="7"/>
  <c r="F18" i="7"/>
  <c r="G18" i="7"/>
  <c r="H18" i="7"/>
  <c r="H17" i="7"/>
  <c r="H64" i="7" s="1"/>
  <c r="H16" i="7"/>
  <c r="H32" i="7" s="1"/>
  <c r="E16" i="7"/>
  <c r="F16" i="7"/>
  <c r="G16" i="7"/>
  <c r="G32" i="7" s="1"/>
  <c r="D18" i="7"/>
  <c r="D16" i="7"/>
  <c r="B24" i="6"/>
  <c r="E18" i="6"/>
  <c r="E65" i="6" s="1"/>
  <c r="F18" i="6"/>
  <c r="F65" i="6" s="1"/>
  <c r="G18" i="6"/>
  <c r="H18" i="6"/>
  <c r="H65" i="6" s="1"/>
  <c r="H17" i="6"/>
  <c r="E16" i="6"/>
  <c r="F16" i="6"/>
  <c r="G16" i="6"/>
  <c r="G32" i="6" s="1"/>
  <c r="H16" i="6"/>
  <c r="H32" i="6" s="1"/>
  <c r="D18" i="6"/>
  <c r="D65" i="6" s="1"/>
  <c r="D16" i="6"/>
  <c r="B24" i="5"/>
  <c r="G49" i="6"/>
  <c r="H49" i="6"/>
  <c r="G49" i="5"/>
  <c r="H49" i="5"/>
  <c r="H50" i="4"/>
  <c r="H45" i="4"/>
  <c r="G56" i="3"/>
  <c r="H56" i="3"/>
  <c r="G49" i="3"/>
  <c r="H49" i="3"/>
  <c r="G50" i="3"/>
  <c r="H50" i="3"/>
  <c r="G44" i="3"/>
  <c r="H44" i="3"/>
  <c r="H46" i="3" s="1"/>
  <c r="H45" i="3"/>
  <c r="G32" i="3"/>
  <c r="H32" i="3"/>
  <c r="G33" i="3"/>
  <c r="H33" i="3"/>
  <c r="G34" i="3"/>
  <c r="H34" i="3"/>
  <c r="G56" i="1"/>
  <c r="H56" i="1"/>
  <c r="G49" i="1"/>
  <c r="H49" i="1"/>
  <c r="G50" i="1"/>
  <c r="H50" i="1"/>
  <c r="G51" i="1"/>
  <c r="G44" i="1"/>
  <c r="H44" i="1"/>
  <c r="H45" i="1"/>
  <c r="G32" i="1"/>
  <c r="G34" i="1" s="1"/>
  <c r="H32" i="1"/>
  <c r="H34" i="1" s="1"/>
  <c r="G33" i="1"/>
  <c r="H33" i="1"/>
  <c r="G56" i="2"/>
  <c r="H56" i="2"/>
  <c r="G49" i="2"/>
  <c r="G51" i="2" s="1"/>
  <c r="H49" i="2"/>
  <c r="G50" i="2"/>
  <c r="H50" i="2"/>
  <c r="G44" i="2"/>
  <c r="H44" i="2"/>
  <c r="H46" i="2" s="1"/>
  <c r="H45" i="2"/>
  <c r="G32" i="2"/>
  <c r="G34" i="2" s="1"/>
  <c r="H32" i="2"/>
  <c r="H34" i="2" s="1"/>
  <c r="G33" i="2"/>
  <c r="H33" i="2"/>
  <c r="H58" i="1" l="1"/>
  <c r="H61" i="6"/>
  <c r="H64" i="6"/>
  <c r="E20" i="7"/>
  <c r="E65" i="7"/>
  <c r="H57" i="2"/>
  <c r="H35" i="2"/>
  <c r="H58" i="2" s="1"/>
  <c r="H57" i="1"/>
  <c r="H35" i="1"/>
  <c r="H57" i="3"/>
  <c r="H35" i="3"/>
  <c r="H20" i="7"/>
  <c r="H65" i="7"/>
  <c r="H58" i="3"/>
  <c r="D20" i="7"/>
  <c r="D65" i="7"/>
  <c r="F20" i="7"/>
  <c r="F65" i="7"/>
  <c r="G57" i="2"/>
  <c r="G35" i="2"/>
  <c r="G58" i="2" s="1"/>
  <c r="G57" i="1"/>
  <c r="G35" i="1"/>
  <c r="G58" i="1" s="1"/>
  <c r="G57" i="3"/>
  <c r="G35" i="3"/>
  <c r="G58" i="3" s="1"/>
  <c r="G51" i="3"/>
  <c r="G20" i="6"/>
  <c r="G65" i="6"/>
  <c r="G20" i="7"/>
  <c r="G65" i="7"/>
  <c r="H46" i="1"/>
  <c r="D62" i="6"/>
  <c r="D20" i="6"/>
  <c r="F62" i="6"/>
  <c r="F20" i="6"/>
  <c r="E62" i="6"/>
  <c r="E20" i="6"/>
  <c r="H62" i="6"/>
  <c r="H20" i="6"/>
  <c r="D62" i="7"/>
  <c r="D62" i="4"/>
  <c r="F62" i="7"/>
  <c r="F62" i="4"/>
  <c r="H49" i="7"/>
  <c r="H62" i="4"/>
  <c r="H51" i="3"/>
  <c r="H44" i="4"/>
  <c r="H46" i="4" s="1"/>
  <c r="H49" i="4"/>
  <c r="H51" i="4" s="1"/>
  <c r="H56" i="4"/>
  <c r="G50" i="6"/>
  <c r="G51" i="6" s="1"/>
  <c r="G62" i="6"/>
  <c r="E62" i="4"/>
  <c r="G49" i="7"/>
  <c r="G62" i="4"/>
  <c r="H62" i="7"/>
  <c r="H51" i="2"/>
  <c r="H63" i="3"/>
  <c r="H33" i="7"/>
  <c r="H50" i="7"/>
  <c r="H51" i="1"/>
  <c r="H63" i="1"/>
  <c r="G33" i="6"/>
  <c r="H45" i="7"/>
  <c r="H63" i="2"/>
  <c r="G33" i="7"/>
  <c r="G50" i="7"/>
  <c r="H33" i="6"/>
  <c r="H45" i="6"/>
  <c r="H50" i="6"/>
  <c r="H51" i="6" s="1"/>
  <c r="G57" i="6" l="1"/>
  <c r="G35" i="6"/>
  <c r="H57" i="7"/>
  <c r="H35" i="7"/>
  <c r="H57" i="6"/>
  <c r="H35" i="6"/>
  <c r="G57" i="7"/>
  <c r="G35" i="7"/>
  <c r="H51" i="7"/>
  <c r="G51" i="7"/>
  <c r="G62" i="7"/>
  <c r="H63" i="4"/>
  <c r="E62" i="7"/>
  <c r="G56" i="4"/>
  <c r="G49" i="4"/>
  <c r="G50" i="4"/>
  <c r="G44" i="4"/>
  <c r="G32" i="4"/>
  <c r="H32" i="4"/>
  <c r="H34" i="4" s="1"/>
  <c r="G33" i="4"/>
  <c r="H33" i="4"/>
  <c r="G34" i="4"/>
  <c r="G57" i="4" l="1"/>
  <c r="G35" i="4"/>
  <c r="G58" i="4"/>
  <c r="H57" i="4"/>
  <c r="H35" i="4"/>
  <c r="H58" i="4" s="1"/>
  <c r="G51" i="4"/>
  <c r="C18" i="6"/>
  <c r="C18" i="7"/>
  <c r="F61" i="4"/>
  <c r="E61" i="4"/>
  <c r="D61" i="4"/>
  <c r="C61" i="4"/>
  <c r="F61" i="3"/>
  <c r="E61" i="3"/>
  <c r="D61" i="3"/>
  <c r="C61" i="3"/>
  <c r="F61" i="1"/>
  <c r="E61" i="1"/>
  <c r="D61" i="1"/>
  <c r="C61" i="1"/>
  <c r="C20" i="6" l="1"/>
  <c r="B20" i="6" s="1"/>
  <c r="C65" i="6"/>
  <c r="C20" i="7"/>
  <c r="B20" i="7" s="1"/>
  <c r="C65" i="7"/>
  <c r="G61" i="1"/>
  <c r="G45" i="1"/>
  <c r="G46" i="1" s="1"/>
  <c r="G61" i="3"/>
  <c r="G45" i="3"/>
  <c r="G46" i="3" s="1"/>
  <c r="B18" i="7"/>
  <c r="C62" i="7"/>
  <c r="G61" i="4"/>
  <c r="G45" i="4"/>
  <c r="G46" i="4" s="1"/>
  <c r="B18" i="6"/>
  <c r="C62" i="6"/>
  <c r="C19" i="7"/>
  <c r="B19" i="7" s="1"/>
  <c r="C19" i="6"/>
  <c r="B19" i="6" s="1"/>
  <c r="C19" i="5"/>
  <c r="C19" i="4"/>
  <c r="C19" i="3"/>
  <c r="C19" i="1"/>
  <c r="C19" i="2"/>
  <c r="G61" i="2"/>
  <c r="F61" i="2"/>
  <c r="E61" i="2"/>
  <c r="D61" i="2"/>
  <c r="C61" i="2"/>
  <c r="B69" i="7" l="1"/>
  <c r="G63" i="4"/>
  <c r="G63" i="3"/>
  <c r="G63" i="1"/>
  <c r="D17" i="6"/>
  <c r="D17" i="7"/>
  <c r="D64" i="7" s="1"/>
  <c r="F17" i="7"/>
  <c r="F17" i="6"/>
  <c r="C17" i="7"/>
  <c r="C17" i="6"/>
  <c r="E17" i="6"/>
  <c r="E64" i="6" s="1"/>
  <c r="E17" i="7"/>
  <c r="G17" i="6"/>
  <c r="G64" i="6" s="1"/>
  <c r="G45" i="2"/>
  <c r="G46" i="2" s="1"/>
  <c r="G17" i="7"/>
  <c r="E53" i="7"/>
  <c r="D53" i="7"/>
  <c r="C53" i="7"/>
  <c r="B53" i="7"/>
  <c r="F50" i="7"/>
  <c r="E50" i="7"/>
  <c r="D50" i="7"/>
  <c r="C50" i="7"/>
  <c r="B50" i="7"/>
  <c r="F33" i="7"/>
  <c r="F35" i="7" s="1"/>
  <c r="E33" i="7"/>
  <c r="D33" i="7"/>
  <c r="C33" i="7"/>
  <c r="B33" i="7"/>
  <c r="F32" i="7"/>
  <c r="E32" i="7"/>
  <c r="D32" i="7"/>
  <c r="B69" i="6"/>
  <c r="B68" i="6"/>
  <c r="E53" i="6"/>
  <c r="D53" i="6"/>
  <c r="C53" i="6"/>
  <c r="B53" i="6"/>
  <c r="F50" i="6"/>
  <c r="E50" i="6"/>
  <c r="D50" i="6"/>
  <c r="C50" i="6"/>
  <c r="B50" i="6"/>
  <c r="D45" i="6"/>
  <c r="F33" i="6"/>
  <c r="F35" i="6" s="1"/>
  <c r="E33" i="6"/>
  <c r="D33" i="6"/>
  <c r="C33" i="6"/>
  <c r="B33" i="6"/>
  <c r="F32" i="6"/>
  <c r="E32" i="6"/>
  <c r="D32" i="6"/>
  <c r="F56" i="4"/>
  <c r="E56" i="4"/>
  <c r="D56" i="4"/>
  <c r="C56" i="4"/>
  <c r="E53" i="4"/>
  <c r="D53" i="4"/>
  <c r="C53" i="4"/>
  <c r="F50" i="4"/>
  <c r="E50" i="4"/>
  <c r="D50" i="4"/>
  <c r="C50" i="4"/>
  <c r="F49" i="4"/>
  <c r="E49" i="4"/>
  <c r="D49" i="4"/>
  <c r="D51" i="4" s="1"/>
  <c r="C49" i="4"/>
  <c r="F45" i="4"/>
  <c r="E45" i="4"/>
  <c r="D45" i="4"/>
  <c r="C45" i="4"/>
  <c r="F44" i="4"/>
  <c r="E44" i="4"/>
  <c r="E46" i="4" s="1"/>
  <c r="D44" i="4"/>
  <c r="D46" i="4" s="1"/>
  <c r="D63" i="4" s="1"/>
  <c r="C44" i="4"/>
  <c r="C46" i="4" s="1"/>
  <c r="C63" i="4" s="1"/>
  <c r="F33" i="4"/>
  <c r="F35" i="4" s="1"/>
  <c r="E33" i="4"/>
  <c r="D33" i="4"/>
  <c r="C33" i="4"/>
  <c r="F32" i="4"/>
  <c r="F34" i="4" s="1"/>
  <c r="F58" i="4" s="1"/>
  <c r="E32" i="4"/>
  <c r="E34" i="4" s="1"/>
  <c r="D32" i="4"/>
  <c r="D34" i="4" s="1"/>
  <c r="C32" i="4"/>
  <c r="C34" i="4" s="1"/>
  <c r="F56" i="3"/>
  <c r="E56" i="3"/>
  <c r="D56" i="3"/>
  <c r="C56" i="3"/>
  <c r="E53" i="3"/>
  <c r="D53" i="3"/>
  <c r="C53" i="3"/>
  <c r="F50" i="3"/>
  <c r="E50" i="3"/>
  <c r="D50" i="3"/>
  <c r="C50" i="3"/>
  <c r="F49" i="3"/>
  <c r="E49" i="3"/>
  <c r="E51" i="3" s="1"/>
  <c r="D49" i="3"/>
  <c r="C49" i="3"/>
  <c r="F45" i="3"/>
  <c r="E45" i="3"/>
  <c r="D45" i="3"/>
  <c r="C45" i="3"/>
  <c r="F44" i="3"/>
  <c r="E44" i="3"/>
  <c r="E46" i="3" s="1"/>
  <c r="D44" i="3"/>
  <c r="C44" i="3"/>
  <c r="F33" i="3"/>
  <c r="F35" i="3" s="1"/>
  <c r="E33" i="3"/>
  <c r="D33" i="3"/>
  <c r="C33" i="3"/>
  <c r="F32" i="3"/>
  <c r="F34" i="3" s="1"/>
  <c r="F58" i="3" s="1"/>
  <c r="E32" i="3"/>
  <c r="E34" i="3" s="1"/>
  <c r="D32" i="3"/>
  <c r="D34" i="3" s="1"/>
  <c r="C32" i="3"/>
  <c r="C34" i="3" s="1"/>
  <c r="F56" i="1"/>
  <c r="E56" i="1"/>
  <c r="D56" i="1"/>
  <c r="C56" i="1"/>
  <c r="E53" i="1"/>
  <c r="D53" i="1"/>
  <c r="C53" i="1"/>
  <c r="F50" i="1"/>
  <c r="E50" i="1"/>
  <c r="D50" i="1"/>
  <c r="C50" i="1"/>
  <c r="F49" i="1"/>
  <c r="E49" i="1"/>
  <c r="E51" i="1" s="1"/>
  <c r="D49" i="1"/>
  <c r="D51" i="1" s="1"/>
  <c r="C49" i="1"/>
  <c r="F45" i="1"/>
  <c r="E45" i="1"/>
  <c r="D45" i="1"/>
  <c r="C45" i="1"/>
  <c r="F44" i="1"/>
  <c r="F46" i="1" s="1"/>
  <c r="F63" i="1" s="1"/>
  <c r="E44" i="1"/>
  <c r="E46" i="1" s="1"/>
  <c r="D44" i="1"/>
  <c r="D46" i="1" s="1"/>
  <c r="C44" i="1"/>
  <c r="C46" i="1" s="1"/>
  <c r="F33" i="1"/>
  <c r="F35" i="1" s="1"/>
  <c r="E33" i="1"/>
  <c r="D33" i="1"/>
  <c r="C33" i="1"/>
  <c r="F32" i="1"/>
  <c r="F34" i="1" s="1"/>
  <c r="F58" i="1" s="1"/>
  <c r="E32" i="1"/>
  <c r="E34" i="1" s="1"/>
  <c r="D32" i="1"/>
  <c r="D34" i="1" s="1"/>
  <c r="C32" i="1"/>
  <c r="C34" i="1" s="1"/>
  <c r="F56" i="2"/>
  <c r="E56" i="2"/>
  <c r="D56" i="2"/>
  <c r="C56" i="2"/>
  <c r="E53" i="2"/>
  <c r="D53" i="2"/>
  <c r="C53" i="2"/>
  <c r="F50" i="2"/>
  <c r="E50" i="2"/>
  <c r="D50" i="2"/>
  <c r="C50" i="2"/>
  <c r="F49" i="2"/>
  <c r="E49" i="2"/>
  <c r="D49" i="2"/>
  <c r="F45" i="2"/>
  <c r="E45" i="2"/>
  <c r="D45" i="2"/>
  <c r="C45" i="2"/>
  <c r="F44" i="2"/>
  <c r="E44" i="2"/>
  <c r="D44" i="2"/>
  <c r="F33" i="2"/>
  <c r="F35" i="2" s="1"/>
  <c r="E33" i="2"/>
  <c r="E35" i="2" s="1"/>
  <c r="D33" i="2"/>
  <c r="C33" i="2"/>
  <c r="F32" i="2"/>
  <c r="F34" i="2" s="1"/>
  <c r="F58" i="2" s="1"/>
  <c r="E32" i="2"/>
  <c r="E34" i="2" s="1"/>
  <c r="D32" i="2"/>
  <c r="D34" i="2" s="1"/>
  <c r="C61" i="6" l="1"/>
  <c r="C64" i="6"/>
  <c r="C61" i="7"/>
  <c r="C64" i="7"/>
  <c r="D61" i="6"/>
  <c r="D64" i="6"/>
  <c r="E45" i="7"/>
  <c r="E64" i="7"/>
  <c r="F61" i="6"/>
  <c r="F64" i="6"/>
  <c r="G45" i="7"/>
  <c r="G64" i="7"/>
  <c r="F45" i="7"/>
  <c r="F64" i="7"/>
  <c r="C45" i="7"/>
  <c r="C51" i="1"/>
  <c r="D45" i="7"/>
  <c r="D61" i="7"/>
  <c r="C46" i="3"/>
  <c r="C63" i="3" s="1"/>
  <c r="F45" i="6"/>
  <c r="G45" i="6"/>
  <c r="G61" i="6"/>
  <c r="E45" i="6"/>
  <c r="E61" i="6"/>
  <c r="F46" i="3"/>
  <c r="F63" i="3" s="1"/>
  <c r="D46" i="3"/>
  <c r="D63" i="3" s="1"/>
  <c r="G63" i="2"/>
  <c r="B17" i="6"/>
  <c r="D57" i="2"/>
  <c r="F57" i="2"/>
  <c r="C45" i="6"/>
  <c r="B17" i="7"/>
  <c r="F51" i="4"/>
  <c r="E51" i="4"/>
  <c r="C51" i="4"/>
  <c r="F46" i="4"/>
  <c r="F63" i="4" s="1"/>
  <c r="E63" i="4"/>
  <c r="F51" i="3"/>
  <c r="D51" i="3"/>
  <c r="C51" i="3"/>
  <c r="F51" i="1"/>
  <c r="E63" i="1"/>
  <c r="E57" i="6"/>
  <c r="D57" i="6"/>
  <c r="F57" i="6"/>
  <c r="E57" i="7"/>
  <c r="D57" i="7"/>
  <c r="F57" i="7"/>
  <c r="E57" i="4"/>
  <c r="C57" i="4"/>
  <c r="D57" i="4"/>
  <c r="F57" i="4"/>
  <c r="C57" i="3"/>
  <c r="D57" i="3"/>
  <c r="F57" i="3"/>
  <c r="E57" i="3"/>
  <c r="E57" i="1"/>
  <c r="C57" i="1"/>
  <c r="D57" i="1"/>
  <c r="F57" i="1"/>
  <c r="F51" i="2"/>
  <c r="E51" i="2"/>
  <c r="D51" i="2"/>
  <c r="F46" i="2"/>
  <c r="F63" i="2" s="1"/>
  <c r="E46" i="2"/>
  <c r="E63" i="2" s="1"/>
  <c r="D46" i="2"/>
  <c r="D63" i="2" s="1"/>
  <c r="E35" i="4"/>
  <c r="E58" i="4" s="1"/>
  <c r="C35" i="4"/>
  <c r="C58" i="4" s="1"/>
  <c r="D35" i="4"/>
  <c r="D58" i="4" s="1"/>
  <c r="E63" i="3"/>
  <c r="E35" i="3"/>
  <c r="E58" i="3" s="1"/>
  <c r="C35" i="3"/>
  <c r="C58" i="3" s="1"/>
  <c r="D35" i="3"/>
  <c r="D58" i="3" s="1"/>
  <c r="C63" i="1"/>
  <c r="D63" i="1"/>
  <c r="C35" i="1"/>
  <c r="C58" i="1" s="1"/>
  <c r="E35" i="1"/>
  <c r="E58" i="1" s="1"/>
  <c r="D35" i="1"/>
  <c r="D58" i="1" s="1"/>
  <c r="E58" i="2"/>
  <c r="E57" i="2"/>
  <c r="C35" i="2"/>
  <c r="D35" i="2"/>
  <c r="D58" i="2" s="1"/>
  <c r="B23" i="6" l="1"/>
  <c r="B45" i="6"/>
  <c r="B23" i="7"/>
  <c r="B68" i="7" s="1"/>
  <c r="B45" i="7"/>
  <c r="H17" i="5"/>
  <c r="H64" i="5" s="1"/>
  <c r="H18" i="5"/>
  <c r="H20" i="5"/>
  <c r="G17" i="5"/>
  <c r="G18" i="5"/>
  <c r="G20" i="5"/>
  <c r="F17" i="5"/>
  <c r="F18" i="5"/>
  <c r="F20" i="5"/>
  <c r="E17" i="5"/>
  <c r="E18" i="5"/>
  <c r="E20" i="5"/>
  <c r="D17" i="5"/>
  <c r="D18" i="5"/>
  <c r="D20" i="5"/>
  <c r="C17" i="5"/>
  <c r="C18" i="5"/>
  <c r="C20" i="5"/>
  <c r="H16" i="5"/>
  <c r="H32" i="5" s="1"/>
  <c r="G16" i="5"/>
  <c r="G32" i="5" s="1"/>
  <c r="F16" i="5"/>
  <c r="F32" i="5" s="1"/>
  <c r="E16" i="5"/>
  <c r="E32" i="5" s="1"/>
  <c r="D16" i="5"/>
  <c r="D32" i="5" s="1"/>
  <c r="B19" i="5"/>
  <c r="B17" i="4"/>
  <c r="B18" i="4"/>
  <c r="B19" i="4"/>
  <c r="B20" i="4"/>
  <c r="B16" i="4"/>
  <c r="B32" i="4" s="1"/>
  <c r="B17" i="3"/>
  <c r="B18" i="3"/>
  <c r="B19" i="3"/>
  <c r="B20" i="3"/>
  <c r="B16" i="3"/>
  <c r="B32" i="3" s="1"/>
  <c r="B17" i="1"/>
  <c r="B18" i="1"/>
  <c r="B19" i="1"/>
  <c r="B20" i="1"/>
  <c r="B16" i="1"/>
  <c r="B32" i="1" s="1"/>
  <c r="C16" i="2"/>
  <c r="B17" i="2"/>
  <c r="B18" i="2"/>
  <c r="B19" i="2"/>
  <c r="B20" i="2"/>
  <c r="H61" i="7"/>
  <c r="G61" i="7"/>
  <c r="F61" i="7"/>
  <c r="H44" i="5"/>
  <c r="G44" i="5"/>
  <c r="B12" i="2"/>
  <c r="B41" i="2" s="1"/>
  <c r="B13" i="7"/>
  <c r="B13" i="6"/>
  <c r="B13" i="5"/>
  <c r="B13" i="4"/>
  <c r="B13" i="3"/>
  <c r="B13" i="1"/>
  <c r="B23" i="3" l="1"/>
  <c r="B68" i="3" s="1"/>
  <c r="D62" i="5"/>
  <c r="D65" i="5"/>
  <c r="H62" i="5"/>
  <c r="H65" i="5"/>
  <c r="B23" i="4"/>
  <c r="B68" i="4" s="1"/>
  <c r="C62" i="5"/>
  <c r="C65" i="5"/>
  <c r="C61" i="5"/>
  <c r="C64" i="5"/>
  <c r="F62" i="5"/>
  <c r="F65" i="5"/>
  <c r="G61" i="5"/>
  <c r="G64" i="5"/>
  <c r="B65" i="2"/>
  <c r="E61" i="5"/>
  <c r="E64" i="5"/>
  <c r="B23" i="2"/>
  <c r="B68" i="2" s="1"/>
  <c r="D61" i="5"/>
  <c r="D64" i="5"/>
  <c r="G62" i="5"/>
  <c r="G65" i="5"/>
  <c r="B23" i="1"/>
  <c r="B68" i="1" s="1"/>
  <c r="E62" i="5"/>
  <c r="E65" i="5"/>
  <c r="F61" i="5"/>
  <c r="F64" i="5"/>
  <c r="H61" i="5"/>
  <c r="B62" i="2"/>
  <c r="B20" i="5"/>
  <c r="E61" i="7"/>
  <c r="B11" i="2"/>
  <c r="B40" i="2" s="1"/>
  <c r="C44" i="2"/>
  <c r="C46" i="2" s="1"/>
  <c r="B13" i="2"/>
  <c r="C49" i="2"/>
  <c r="C51" i="2" s="1"/>
  <c r="B16" i="2"/>
  <c r="B32" i="2" s="1"/>
  <c r="C16" i="7"/>
  <c r="C16" i="6"/>
  <c r="C32" i="2"/>
  <c r="G44" i="6"/>
  <c r="G46" i="6" s="1"/>
  <c r="H44" i="7"/>
  <c r="H46" i="7" s="1"/>
  <c r="H50" i="5"/>
  <c r="H51" i="5" s="1"/>
  <c r="H45" i="5"/>
  <c r="H46" i="5" s="1"/>
  <c r="H33" i="5"/>
  <c r="H44" i="6"/>
  <c r="H46" i="6" s="1"/>
  <c r="G44" i="7"/>
  <c r="G46" i="7" s="1"/>
  <c r="G50" i="5"/>
  <c r="G51" i="5" s="1"/>
  <c r="G45" i="5"/>
  <c r="G46" i="5" s="1"/>
  <c r="G33" i="5"/>
  <c r="F44" i="5"/>
  <c r="F49" i="5"/>
  <c r="F49" i="7"/>
  <c r="F51" i="7" s="1"/>
  <c r="F44" i="7"/>
  <c r="F46" i="7" s="1"/>
  <c r="F63" i="7" s="1"/>
  <c r="E49" i="5"/>
  <c r="E44" i="5"/>
  <c r="E44" i="7"/>
  <c r="E46" i="7" s="1"/>
  <c r="E49" i="7"/>
  <c r="E51" i="7" s="1"/>
  <c r="E35" i="7"/>
  <c r="D49" i="5"/>
  <c r="D44" i="5"/>
  <c r="D49" i="7"/>
  <c r="D51" i="7" s="1"/>
  <c r="D44" i="7"/>
  <c r="D46" i="7" s="1"/>
  <c r="D35" i="7"/>
  <c r="B49" i="2"/>
  <c r="B50" i="4"/>
  <c r="B69" i="4"/>
  <c r="B53" i="4"/>
  <c r="B33" i="4"/>
  <c r="B45" i="4"/>
  <c r="B53" i="3"/>
  <c r="B33" i="3"/>
  <c r="B69" i="3"/>
  <c r="B50" i="3"/>
  <c r="B45" i="3"/>
  <c r="B50" i="1"/>
  <c r="B69" i="1"/>
  <c r="B53" i="1"/>
  <c r="B33" i="1"/>
  <c r="B45" i="1"/>
  <c r="D49" i="6"/>
  <c r="D51" i="6" s="1"/>
  <c r="D44" i="6"/>
  <c r="D46" i="6" s="1"/>
  <c r="D35" i="6"/>
  <c r="E49" i="6"/>
  <c r="E51" i="6" s="1"/>
  <c r="E44" i="6"/>
  <c r="E46" i="6" s="1"/>
  <c r="E35" i="6"/>
  <c r="F49" i="6"/>
  <c r="F51" i="6" s="1"/>
  <c r="F44" i="6"/>
  <c r="F46" i="6" s="1"/>
  <c r="F63" i="6" s="1"/>
  <c r="F33" i="5"/>
  <c r="B18" i="5"/>
  <c r="F50" i="5"/>
  <c r="E53" i="5"/>
  <c r="E33" i="5"/>
  <c r="E50" i="5"/>
  <c r="D53" i="5"/>
  <c r="D33" i="5"/>
  <c r="D50" i="5"/>
  <c r="C53" i="5"/>
  <c r="C33" i="5"/>
  <c r="B53" i="2"/>
  <c r="B33" i="2"/>
  <c r="B69" i="2"/>
  <c r="B50" i="2"/>
  <c r="C50" i="5"/>
  <c r="B17" i="5"/>
  <c r="F45" i="5"/>
  <c r="E45" i="5"/>
  <c r="D45" i="5"/>
  <c r="B45" i="2"/>
  <c r="C45" i="5"/>
  <c r="C16" i="5"/>
  <c r="C32" i="5" s="1"/>
  <c r="B53" i="5" l="1"/>
  <c r="B64" i="5"/>
  <c r="D51" i="5"/>
  <c r="B64" i="2"/>
  <c r="F51" i="5"/>
  <c r="F57" i="5"/>
  <c r="F35" i="5"/>
  <c r="H57" i="5"/>
  <c r="H35" i="5"/>
  <c r="G57" i="5"/>
  <c r="G35" i="5"/>
  <c r="E51" i="5"/>
  <c r="F46" i="5"/>
  <c r="B44" i="2"/>
  <c r="B46" i="2" s="1"/>
  <c r="B61" i="2"/>
  <c r="H63" i="7"/>
  <c r="B16" i="6"/>
  <c r="B32" i="6" s="1"/>
  <c r="B57" i="6" s="1"/>
  <c r="C32" i="6"/>
  <c r="C57" i="6" s="1"/>
  <c r="C34" i="2"/>
  <c r="C58" i="2" s="1"/>
  <c r="C57" i="2"/>
  <c r="B16" i="7"/>
  <c r="B32" i="7" s="1"/>
  <c r="B57" i="7" s="1"/>
  <c r="C32" i="7"/>
  <c r="C57" i="7" s="1"/>
  <c r="C63" i="2"/>
  <c r="G63" i="7"/>
  <c r="F63" i="5"/>
  <c r="B11" i="7"/>
  <c r="B16" i="5"/>
  <c r="B32" i="5" s="1"/>
  <c r="B11" i="5"/>
  <c r="D46" i="5"/>
  <c r="D63" i="5" s="1"/>
  <c r="B23" i="5"/>
  <c r="B68" i="5" s="1"/>
  <c r="H63" i="6"/>
  <c r="H63" i="5"/>
  <c r="G63" i="5"/>
  <c r="G63" i="6"/>
  <c r="E46" i="5"/>
  <c r="E63" i="5" s="1"/>
  <c r="E63" i="6"/>
  <c r="B50" i="5"/>
  <c r="D63" i="6"/>
  <c r="B51" i="2"/>
  <c r="E63" i="7"/>
  <c r="D63" i="7"/>
  <c r="B12" i="7"/>
  <c r="C49" i="7"/>
  <c r="C51" i="7" s="1"/>
  <c r="C44" i="7"/>
  <c r="C46" i="7" s="1"/>
  <c r="C35" i="7"/>
  <c r="B12" i="5"/>
  <c r="C44" i="5"/>
  <c r="C46" i="5" s="1"/>
  <c r="C49" i="5"/>
  <c r="C51" i="5" s="1"/>
  <c r="B57" i="4"/>
  <c r="B57" i="3"/>
  <c r="B33" i="5"/>
  <c r="B57" i="5" s="1"/>
  <c r="B69" i="5"/>
  <c r="B57" i="1"/>
  <c r="B45" i="5"/>
  <c r="B11" i="6"/>
  <c r="B12" i="6"/>
  <c r="C49" i="6"/>
  <c r="C51" i="6" s="1"/>
  <c r="C44" i="6"/>
  <c r="C46" i="6" s="1"/>
  <c r="C35" i="6"/>
  <c r="E57" i="5"/>
  <c r="E35" i="5"/>
  <c r="D57" i="5"/>
  <c r="D35" i="5"/>
  <c r="C57" i="5"/>
  <c r="C35" i="5"/>
  <c r="B35" i="2"/>
  <c r="B57" i="2"/>
  <c r="H10" i="7"/>
  <c r="G10" i="7"/>
  <c r="F10" i="7"/>
  <c r="E10" i="7"/>
  <c r="H10" i="5"/>
  <c r="C34" i="5"/>
  <c r="B11" i="4"/>
  <c r="B12" i="4"/>
  <c r="B10" i="4"/>
  <c r="B34" i="4" s="1"/>
  <c r="B11" i="3"/>
  <c r="B12" i="3"/>
  <c r="B10" i="3"/>
  <c r="B34" i="3" s="1"/>
  <c r="B11" i="1"/>
  <c r="B12" i="1"/>
  <c r="B10" i="1"/>
  <c r="B34" i="1" s="1"/>
  <c r="B10" i="2"/>
  <c r="B56" i="2" s="1"/>
  <c r="B62" i="3" l="1"/>
  <c r="B41" i="3"/>
  <c r="B65" i="3"/>
  <c r="B61" i="6"/>
  <c r="B40" i="6"/>
  <c r="B64" i="6"/>
  <c r="B61" i="3"/>
  <c r="B40" i="3"/>
  <c r="B64" i="3"/>
  <c r="B62" i="5"/>
  <c r="B41" i="5"/>
  <c r="B61" i="1"/>
  <c r="B40" i="1"/>
  <c r="B64" i="1"/>
  <c r="B65" i="5"/>
  <c r="B61" i="4"/>
  <c r="B40" i="4"/>
  <c r="B64" i="4"/>
  <c r="B62" i="1"/>
  <c r="B41" i="1"/>
  <c r="B65" i="1"/>
  <c r="B62" i="7"/>
  <c r="B41" i="7"/>
  <c r="B65" i="7"/>
  <c r="B61" i="7"/>
  <c r="B40" i="7"/>
  <c r="B64" i="7"/>
  <c r="B62" i="4"/>
  <c r="B41" i="4"/>
  <c r="B65" i="4"/>
  <c r="C34" i="7"/>
  <c r="B62" i="6"/>
  <c r="B41" i="6"/>
  <c r="B65" i="6"/>
  <c r="B61" i="5"/>
  <c r="B40" i="5"/>
  <c r="B63" i="2"/>
  <c r="C34" i="6"/>
  <c r="C58" i="6" s="1"/>
  <c r="B34" i="2"/>
  <c r="B58" i="2" s="1"/>
  <c r="B35" i="5"/>
  <c r="G56" i="5"/>
  <c r="G34" i="5"/>
  <c r="G58" i="5" s="1"/>
  <c r="G56" i="6"/>
  <c r="G34" i="6"/>
  <c r="G58" i="6" s="1"/>
  <c r="E34" i="7"/>
  <c r="E58" i="7" s="1"/>
  <c r="E56" i="7"/>
  <c r="G56" i="7"/>
  <c r="G34" i="7"/>
  <c r="G58" i="7" s="1"/>
  <c r="C56" i="6"/>
  <c r="C56" i="5"/>
  <c r="B10" i="5"/>
  <c r="B56" i="5" s="1"/>
  <c r="D34" i="5"/>
  <c r="D58" i="5" s="1"/>
  <c r="D56" i="5"/>
  <c r="F34" i="5"/>
  <c r="F58" i="5" s="1"/>
  <c r="F56" i="5"/>
  <c r="H56" i="5"/>
  <c r="H34" i="5"/>
  <c r="H58" i="5" s="1"/>
  <c r="H56" i="6"/>
  <c r="H34" i="6"/>
  <c r="H58" i="6" s="1"/>
  <c r="D34" i="7"/>
  <c r="D58" i="7" s="1"/>
  <c r="D56" i="7"/>
  <c r="F34" i="7"/>
  <c r="F58" i="7" s="1"/>
  <c r="F56" i="7"/>
  <c r="H56" i="7"/>
  <c r="H34" i="7"/>
  <c r="H58" i="7" s="1"/>
  <c r="C58" i="5"/>
  <c r="C58" i="7"/>
  <c r="C56" i="7"/>
  <c r="E56" i="5"/>
  <c r="E34" i="5"/>
  <c r="E58" i="5" s="1"/>
  <c r="B44" i="4"/>
  <c r="B46" i="4" s="1"/>
  <c r="B56" i="4"/>
  <c r="B49" i="4"/>
  <c r="B51" i="4" s="1"/>
  <c r="B35" i="4"/>
  <c r="B58" i="4" s="1"/>
  <c r="B49" i="3"/>
  <c r="B51" i="3" s="1"/>
  <c r="B56" i="3"/>
  <c r="B44" i="3"/>
  <c r="B46" i="3" s="1"/>
  <c r="B35" i="3"/>
  <c r="B58" i="3" s="1"/>
  <c r="B44" i="1"/>
  <c r="B46" i="1" s="1"/>
  <c r="B56" i="1"/>
  <c r="B49" i="1"/>
  <c r="B51" i="1" s="1"/>
  <c r="C63" i="5"/>
  <c r="B35" i="1"/>
  <c r="B58" i="1" s="1"/>
  <c r="B49" i="5"/>
  <c r="B51" i="5" s="1"/>
  <c r="B44" i="5"/>
  <c r="B46" i="5" s="1"/>
  <c r="C63" i="7"/>
  <c r="B49" i="7"/>
  <c r="B51" i="7" s="1"/>
  <c r="B44" i="7"/>
  <c r="B46" i="7" s="1"/>
  <c r="B35" i="7"/>
  <c r="D34" i="6"/>
  <c r="D58" i="6" s="1"/>
  <c r="D56" i="6"/>
  <c r="F34" i="6"/>
  <c r="F58" i="6" s="1"/>
  <c r="F56" i="6"/>
  <c r="B49" i="6"/>
  <c r="B51" i="6" s="1"/>
  <c r="B44" i="6"/>
  <c r="B46" i="6" s="1"/>
  <c r="B35" i="6"/>
  <c r="C63" i="6"/>
  <c r="E34" i="6"/>
  <c r="E58" i="6" s="1"/>
  <c r="E56" i="6"/>
  <c r="B10" i="7"/>
  <c r="B34" i="7" s="1"/>
  <c r="B10" i="6"/>
  <c r="B34" i="6" s="1"/>
  <c r="B63" i="5" l="1"/>
  <c r="B34" i="5"/>
  <c r="B58" i="5" s="1"/>
  <c r="B56" i="7"/>
  <c r="B56" i="6"/>
  <c r="B58" i="7"/>
  <c r="B63" i="4"/>
  <c r="B63" i="3"/>
  <c r="B63" i="1"/>
  <c r="B63" i="6"/>
  <c r="B63" i="7"/>
  <c r="B58" i="6"/>
</calcChain>
</file>

<file path=xl/comments1.xml><?xml version="1.0" encoding="utf-8"?>
<comments xmlns="http://schemas.openxmlformats.org/spreadsheetml/2006/main">
  <authors>
    <author>catherine.mata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Corresponde a las becas pagadas en el período
</t>
        </r>
      </text>
    </comment>
  </commentList>
</comments>
</file>

<file path=xl/sharedStrings.xml><?xml version="1.0" encoding="utf-8"?>
<sst xmlns="http://schemas.openxmlformats.org/spreadsheetml/2006/main" count="525" uniqueCount="133">
  <si>
    <t>Indicador</t>
  </si>
  <si>
    <t>Total programa</t>
  </si>
  <si>
    <t>Productos</t>
  </si>
  <si>
    <t>NEE</t>
  </si>
  <si>
    <t>TED</t>
  </si>
  <si>
    <t>Insumos</t>
  </si>
  <si>
    <t xml:space="preserve">Beneficiarios </t>
  </si>
  <si>
    <t>Efectivos 2T 2010</t>
  </si>
  <si>
    <t>Programados 2T 2011</t>
  </si>
  <si>
    <t>Efectivos 2T 2011</t>
  </si>
  <si>
    <t>Programados año 2011</t>
  </si>
  <si>
    <t>Gasto FODESAF</t>
  </si>
  <si>
    <t>En transferencias 2T 2011</t>
  </si>
  <si>
    <t>Ingresos FODESAF</t>
  </si>
  <si>
    <t>Otros insumos</t>
  </si>
  <si>
    <t>IPC (2T 2010)</t>
  </si>
  <si>
    <t>IPC (2T 2011)</t>
  </si>
  <si>
    <t>Población objetivo</t>
  </si>
  <si>
    <t>Cálculos intermedios</t>
  </si>
  <si>
    <t>Gasto efectivo real 2T 2010</t>
  </si>
  <si>
    <t>Gasto efectivo real 2T 2011</t>
  </si>
  <si>
    <t>Gasto efectivo real por beneficiario 2T 2010</t>
  </si>
  <si>
    <t>Gasto efectivo real por beneficiario 2T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</si>
  <si>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</si>
  <si>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</si>
  <si>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</si>
  <si>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</si>
  <si>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</si>
  <si>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</si>
  <si>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</si>
  <si>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</si>
  <si>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</si>
  <si>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</si>
  <si>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</si>
  <si>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</si>
  <si>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</si>
  <si>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</si>
  <si>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</si>
  <si>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</si>
  <si>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</si>
  <si>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</si>
  <si>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</si>
  <si>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</si>
  <si>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</si>
  <si>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</si>
  <si>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Adolesc. Padres y Madres</t>
  </si>
  <si>
    <t>Post-secundaria Regular</t>
  </si>
  <si>
    <t>Avancemos más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</si>
  <si>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</si>
  <si>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</si>
  <si>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</si>
  <si>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</si>
  <si>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</si>
  <si>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</si>
  <si>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</si>
  <si>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</si>
  <si>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</si>
  <si>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</si>
  <si>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Efectivos 3T 2010</t>
  </si>
  <si>
    <t>Programados 3T 2011</t>
  </si>
  <si>
    <t>Efectivos 3T 2011</t>
  </si>
  <si>
    <t>En transferencias 3T 2011</t>
  </si>
  <si>
    <t>IPC (3T 2010)</t>
  </si>
  <si>
    <t>IPC (3T 2011)</t>
  </si>
  <si>
    <t>Gasto efectivo real 3T 2010</t>
  </si>
  <si>
    <t>Gasto efectivo real 3T 2011</t>
  </si>
  <si>
    <t>Gasto efectivo real por beneficiario 3T 2010</t>
  </si>
  <si>
    <t>Gasto efectivo real por beneficiario 3T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</si>
  <si>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</si>
  <si>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</si>
  <si>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</si>
  <si>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</si>
  <si>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</si>
  <si>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</si>
  <si>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</si>
  <si>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</si>
  <si>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</si>
  <si>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</si>
  <si>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Efectivos 1S 2010</t>
  </si>
  <si>
    <t>Programados 1S 2011</t>
  </si>
  <si>
    <t>Efectivos 1S 2011</t>
  </si>
  <si>
    <t>En transferencias 1S 2011</t>
  </si>
  <si>
    <t>IPC (1S 2010)</t>
  </si>
  <si>
    <t>IPC (1S 2011)</t>
  </si>
  <si>
    <t>Gasto efectivo real 1S 2010</t>
  </si>
  <si>
    <t>Gasto efectivo real 1S 2011</t>
  </si>
  <si>
    <t>Gasto efectivo real por beneficiario 1S 2010</t>
  </si>
  <si>
    <t>Gasto efectivo real por beneficiario 1S 2011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</si>
  <si>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</si>
  <si>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</si>
  <si>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</si>
  <si>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</si>
  <si>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</si>
  <si>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</si>
  <si>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</si>
  <si>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</si>
  <si>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</si>
  <si>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</si>
  <si>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n.a</t>
  </si>
  <si>
    <t>Preescolar Y Primaria</t>
  </si>
  <si>
    <t>Preescolar y Primaria</t>
  </si>
  <si>
    <t>Fuentes:</t>
  </si>
  <si>
    <t>PAO 2011</t>
  </si>
  <si>
    <t>Informes Trimestrales 2011_FONABE, ajustados de acuerdo a lo entregado en cada período</t>
  </si>
  <si>
    <t>Informe de giros a FONABE de acuerdo a Presupuesto Desaf (para los ingresos recibidos)</t>
  </si>
  <si>
    <t>Informes de Liquidación 2010 elaborado por Desaf</t>
  </si>
  <si>
    <t xml:space="preserve">Gasto mensual programado por beneficiario (GPB) </t>
  </si>
  <si>
    <t xml:space="preserve">Gasto mensual efectivo por beneficiario (GEB) </t>
  </si>
  <si>
    <t>Indicadores aplicados a FONABE. Primer trimestre 2011</t>
  </si>
  <si>
    <t>Indicadores aplicados a FONABE. Segundo trimestre 2011</t>
  </si>
  <si>
    <t>Indicadores aplicados a FONABE. Tercer trimestre 2011</t>
  </si>
  <si>
    <t>Indicadores aplicados a FONABE. Cuarto trimestre 2011</t>
  </si>
  <si>
    <t>Indicadores aplicados a FONABE. Primer Semestre 2011</t>
  </si>
  <si>
    <t>Indicadores aplicados a FONABE. Tercer trimestre ACUMULADO 2011</t>
  </si>
  <si>
    <t>Indicadores aplicados a FONABE. Año 2011</t>
  </si>
  <si>
    <t>nd</t>
  </si>
  <si>
    <t>Notas:</t>
  </si>
  <si>
    <t>Población Objetivo:</t>
  </si>
  <si>
    <t>Preescolar, primaria y especial: estudiantes pobres de centros públicos de esos niveles.</t>
  </si>
  <si>
    <t>Necesidades educativas especiales: estudiantes pobres de primaria y secundaria pública con discapacidad</t>
  </si>
  <si>
    <t>Transporte a estudiantes con discapacidad: estudiantes pobres de primaria y secundaria pública con discapacidad</t>
  </si>
  <si>
    <t>Adolescentes y jóvenes pobres menores de 21 años madres o padres: no disponible.</t>
  </si>
  <si>
    <t>Post-Secundaria: estudiantes pobres en centros de educación superior públicos o privados.</t>
  </si>
  <si>
    <t xml:space="preserve">Gasto trimestral programado por beneficiario (GPB) </t>
  </si>
  <si>
    <t xml:space="preserve">Gasto trimestral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</si>
  <si>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</si>
  <si>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</si>
  <si>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</si>
  <si>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</si>
  <si>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 xml:space="preserve">Gasto anual programado por beneficiario (GPB) </t>
  </si>
  <si>
    <t xml:space="preserve">Gasto anual efectivo por beneficiario (GEB) </t>
  </si>
  <si>
    <t xml:space="preserve">Total </t>
  </si>
  <si>
    <t>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</si>
</sst>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___"/>
    <numFmt numFmtId="165" formatCode="#,##0.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2" fillId="0" borderId="0" xfId="0" applyFont="1" applyFill="1"/>
    <xf numFmtId="43" fontId="0" fillId="0" borderId="0" xfId="1" applyFont="1" applyFill="1"/>
    <xf numFmtId="3" fontId="0" fillId="0" borderId="0" xfId="0" applyNumberFormat="1" applyFill="1" applyAlignment="1">
      <alignment horizontal="center"/>
    </xf>
    <xf numFmtId="0" fontId="0" fillId="0" borderId="2" xfId="0" applyFill="1" applyBorder="1"/>
    <xf numFmtId="0" fontId="2" fillId="0" borderId="0" xfId="0" applyFont="1" applyFill="1" applyAlignment="1">
      <alignment wrapText="1"/>
    </xf>
    <xf numFmtId="165" fontId="0" fillId="0" borderId="0" xfId="0" applyNumberFormat="1" applyFill="1"/>
    <xf numFmtId="166" fontId="0" fillId="0" borderId="0" xfId="1" applyNumberFormat="1" applyFont="1" applyFill="1"/>
    <xf numFmtId="0" fontId="0" fillId="0" borderId="0" xfId="0" applyFill="1" applyAlignment="1">
      <alignment horizontal="center"/>
    </xf>
    <xf numFmtId="3" fontId="0" fillId="0" borderId="0" xfId="1" applyNumberFormat="1" applyFont="1" applyFill="1"/>
    <xf numFmtId="0" fontId="0" fillId="0" borderId="0" xfId="0" applyFont="1" applyFill="1" applyAlignment="1">
      <alignment horizontal="left" wrapText="1"/>
    </xf>
    <xf numFmtId="3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/>
    <xf numFmtId="0" fontId="0" fillId="0" borderId="0" xfId="0" applyFill="1" applyAlignment="1"/>
    <xf numFmtId="4" fontId="0" fillId="0" borderId="0" xfId="0" applyNumberFormat="1" applyFill="1" applyAlignment="1"/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indent="3"/>
    </xf>
    <xf numFmtId="166" fontId="0" fillId="0" borderId="1" xfId="1" applyNumberFormat="1" applyFont="1" applyFill="1" applyBorder="1" applyAlignment="1">
      <alignment vertical="center" wrapText="1"/>
    </xf>
    <xf numFmtId="166" fontId="0" fillId="0" borderId="2" xfId="1" applyNumberFormat="1" applyFont="1" applyFill="1" applyBorder="1" applyAlignment="1">
      <alignment vertical="center" wrapText="1"/>
    </xf>
    <xf numFmtId="166" fontId="0" fillId="0" borderId="4" xfId="1" applyNumberFormat="1" applyFont="1" applyFill="1" applyBorder="1" applyAlignment="1">
      <alignment vertical="center"/>
    </xf>
    <xf numFmtId="166" fontId="0" fillId="0" borderId="2" xfId="1" applyNumberFormat="1" applyFont="1" applyFill="1" applyBorder="1" applyAlignment="1">
      <alignment horizontal="center" vertical="center"/>
    </xf>
    <xf numFmtId="166" fontId="0" fillId="0" borderId="2" xfId="1" applyNumberFormat="1" applyFont="1" applyFill="1" applyBorder="1" applyAlignment="1">
      <alignment horizontal="center" wrapText="1"/>
    </xf>
    <xf numFmtId="166" fontId="2" fillId="0" borderId="0" xfId="1" applyNumberFormat="1" applyFont="1" applyFill="1"/>
    <xf numFmtId="166" fontId="0" fillId="0" borderId="0" xfId="1" applyNumberFormat="1" applyFont="1" applyFill="1" applyAlignment="1">
      <alignment horizontal="left" indent="1"/>
    </xf>
    <xf numFmtId="166" fontId="0" fillId="0" borderId="0" xfId="1" applyNumberFormat="1" applyFont="1" applyFill="1" applyAlignment="1">
      <alignment horizontal="center"/>
    </xf>
    <xf numFmtId="166" fontId="0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/>
    <xf numFmtId="166" fontId="0" fillId="0" borderId="0" xfId="1" applyNumberFormat="1" applyFont="1" applyFill="1" applyAlignment="1">
      <alignment horizontal="right"/>
    </xf>
    <xf numFmtId="166" fontId="0" fillId="0" borderId="2" xfId="1" applyNumberFormat="1" applyFont="1" applyFill="1" applyBorder="1"/>
    <xf numFmtId="166" fontId="2" fillId="0" borderId="0" xfId="1" applyNumberFormat="1" applyFont="1" applyFill="1" applyAlignment="1">
      <alignment wrapText="1"/>
    </xf>
    <xf numFmtId="166" fontId="0" fillId="0" borderId="0" xfId="1" applyNumberFormat="1" applyFont="1" applyFill="1" applyAlignment="1">
      <alignment horizontal="left" wrapText="1"/>
    </xf>
    <xf numFmtId="166" fontId="0" fillId="0" borderId="0" xfId="1" applyNumberFormat="1" applyFont="1" applyFill="1" applyAlignment="1">
      <alignment horizontal="left" indent="3"/>
    </xf>
    <xf numFmtId="166" fontId="0" fillId="0" borderId="4" xfId="1" applyNumberFormat="1" applyFont="1" applyFill="1" applyBorder="1" applyAlignment="1">
      <alignment horizontal="center" vertical="center"/>
    </xf>
    <xf numFmtId="166" fontId="0" fillId="0" borderId="2" xfId="1" applyNumberFormat="1" applyFont="1" applyFill="1" applyBorder="1" applyAlignment="1">
      <alignment horizontal="center" vertical="center" wrapText="1"/>
    </xf>
    <xf numFmtId="43" fontId="0" fillId="0" borderId="0" xfId="1" applyNumberFormat="1" applyFont="1" applyFill="1"/>
    <xf numFmtId="43" fontId="0" fillId="0" borderId="0" xfId="1" applyNumberFormat="1" applyFont="1" applyFill="1" applyAlignment="1"/>
    <xf numFmtId="166" fontId="0" fillId="0" borderId="1" xfId="1" applyNumberFormat="1" applyFont="1" applyFill="1" applyBorder="1" applyAlignment="1">
      <alignment horizontal="center" vertical="center"/>
    </xf>
    <xf numFmtId="166" fontId="0" fillId="0" borderId="2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Alignment="1">
      <alignment horizontal="center"/>
    </xf>
    <xf numFmtId="166" fontId="0" fillId="0" borderId="3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3" fontId="0" fillId="0" borderId="3" xfId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6" fontId="0" fillId="0" borderId="1" xfId="1" applyNumberFormat="1" applyFont="1" applyFill="1" applyBorder="1" applyAlignment="1">
      <alignment horizontal="center" wrapText="1"/>
    </xf>
    <xf numFmtId="166" fontId="0" fillId="0" borderId="2" xfId="1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Índice de</a:t>
            </a:r>
            <a:r>
              <a:rPr lang="es-CR" baseline="0"/>
              <a:t> Efectividad en Beneficiarios</a:t>
            </a:r>
            <a:endParaRPr lang="es-C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904619136167833E-2"/>
          <c:y val="0.16822604372174052"/>
          <c:w val="0.54297590036948573"/>
          <c:h val="0.71542210843140241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val>
            <c:numRef>
              <c:f>'I Trimestre'!$B$44</c:f>
              <c:numCache>
                <c:formatCode>_(* #,##0_);_(* \(#,##0\);_(* "-"??_);_(@_)</c:formatCode>
                <c:ptCount val="1"/>
                <c:pt idx="0">
                  <c:v>57.011644632145916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val>
            <c:numRef>
              <c:f>'II Trimestre'!$B$44</c:f>
              <c:numCache>
                <c:formatCode>#,##0.00</c:formatCode>
                <c:ptCount val="1"/>
                <c:pt idx="0">
                  <c:v>91.326026121183673</c:v>
                </c:pt>
              </c:numCache>
            </c:numRef>
          </c:val>
        </c:ser>
        <c:ser>
          <c:idx val="2"/>
          <c:order val="2"/>
          <c:tx>
            <c:v>Primer Semestre</c:v>
          </c:tx>
          <c:invertIfNegative val="0"/>
          <c:val>
            <c:numRef>
              <c:f>'I Semestre'!$B$44</c:f>
              <c:numCache>
                <c:formatCode>#,##0.00</c:formatCode>
                <c:ptCount val="1"/>
                <c:pt idx="0">
                  <c:v>74.186046956000013</c:v>
                </c:pt>
              </c:numCache>
            </c:numRef>
          </c:val>
        </c:ser>
        <c:ser>
          <c:idx val="3"/>
          <c:order val="3"/>
          <c:tx>
            <c:v>Tercer Trimestre</c:v>
          </c:tx>
          <c:invertIfNegative val="0"/>
          <c:val>
            <c:numRef>
              <c:f>'III Trimestre'!$B$44</c:f>
              <c:numCache>
                <c:formatCode>#,##0.00</c:formatCode>
                <c:ptCount val="1"/>
                <c:pt idx="0">
                  <c:v>110.11565544442664</c:v>
                </c:pt>
              </c:numCache>
            </c:numRef>
          </c:val>
        </c:ser>
        <c:ser>
          <c:idx val="4"/>
          <c:order val="4"/>
          <c:tx>
            <c:v>Tercer Trimestre Acumulado</c:v>
          </c:tx>
          <c:invertIfNegative val="0"/>
          <c:val>
            <c:numRef>
              <c:f>'III T Acumulado'!$B$44</c:f>
              <c:numCache>
                <c:formatCode>#,##0.00</c:formatCode>
                <c:ptCount val="1"/>
                <c:pt idx="0">
                  <c:v>86.177448984658142</c:v>
                </c:pt>
              </c:numCache>
            </c:numRef>
          </c:val>
        </c:ser>
        <c:ser>
          <c:idx val="5"/>
          <c:order val="5"/>
          <c:tx>
            <c:v>Cuarto Trimestre</c:v>
          </c:tx>
          <c:invertIfNegative val="0"/>
          <c:val>
            <c:numRef>
              <c:f>'IV Trimestre'!$B$44</c:f>
              <c:numCache>
                <c:formatCode>#,##0.00</c:formatCode>
                <c:ptCount val="1"/>
                <c:pt idx="0">
                  <c:v>182.19094620118202</c:v>
                </c:pt>
              </c:numCache>
            </c:numRef>
          </c:val>
        </c:ser>
        <c:ser>
          <c:idx val="6"/>
          <c:order val="6"/>
          <c:tx>
            <c:v>Anual</c:v>
          </c:tx>
          <c:invertIfNegative val="0"/>
          <c:val>
            <c:numRef>
              <c:f>Anual!$B$44</c:f>
              <c:numCache>
                <c:formatCode>_(* #,##0_);_(* \(#,##0\);_(* "-"??_);_(@_)</c:formatCode>
                <c:ptCount val="1"/>
                <c:pt idx="0">
                  <c:v>110.23406961312155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08616"/>
        <c:axId val="197209008"/>
      </c:barChart>
      <c:catAx>
        <c:axId val="197208616"/>
        <c:scaling>
          <c:orientation val="minMax"/>
        </c:scaling>
        <c:delete val="1"/>
        <c:axPos val="b"/>
        <c:majorTickMark val="out"/>
        <c:minorTickMark val="none"/>
        <c:tickLblPos val="none"/>
        <c:crossAx val="197209008"/>
        <c:crosses val="autoZero"/>
        <c:auto val="1"/>
        <c:lblAlgn val="ctr"/>
        <c:lblOffset val="100"/>
        <c:noMultiLvlLbl val="0"/>
      </c:catAx>
      <c:valAx>
        <c:axId val="1972090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97208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Giro de Recursos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627296587926502E-2"/>
          <c:y val="0.17218759113444151"/>
          <c:w val="0.75348359580052493"/>
          <c:h val="0.5359066054243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Anual!$A$68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Anual!$B$4</c:f>
              <c:strCache>
                <c:ptCount val="1"/>
                <c:pt idx="0">
                  <c:v>Programa</c:v>
                </c:pt>
              </c:strCache>
            </c:strRef>
          </c:cat>
          <c:val>
            <c:numRef>
              <c:f>Anual!$B$68</c:f>
              <c:numCache>
                <c:formatCode>_(* #,##0_);_(* \(#,##0\);_(* "-"??_);_(@_)</c:formatCode>
                <c:ptCount val="1"/>
                <c:pt idx="0">
                  <c:v>103.62350618943206</c:v>
                </c:pt>
              </c:numCache>
            </c:numRef>
          </c:val>
        </c:ser>
        <c:ser>
          <c:idx val="1"/>
          <c:order val="1"/>
          <c:tx>
            <c:strRef>
              <c:f>Anual!$A$69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Anual!$B$4</c:f>
              <c:strCache>
                <c:ptCount val="1"/>
                <c:pt idx="0">
                  <c:v>Programa</c:v>
                </c:pt>
              </c:strCache>
            </c:strRef>
          </c:cat>
          <c:val>
            <c:numRef>
              <c:f>Anual!$B$69</c:f>
              <c:numCache>
                <c:formatCode>_(* #,##0_);_(* \(#,##0\);_(* "-"??_);_(@_)</c:formatCode>
                <c:ptCount val="1"/>
                <c:pt idx="0">
                  <c:v>99.515431177524533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86640"/>
        <c:axId val="197887032"/>
      </c:barChart>
      <c:catAx>
        <c:axId val="197886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7887032"/>
        <c:crosses val="autoZero"/>
        <c:auto val="1"/>
        <c:lblAlgn val="ctr"/>
        <c:lblOffset val="100"/>
        <c:noMultiLvlLbl val="0"/>
      </c:catAx>
      <c:valAx>
        <c:axId val="1978870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886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594050743657046E-2"/>
          <c:y val="0.80517169728783899"/>
          <c:w val="0.87303412073490816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  <c:txPr>
        <a:bodyPr/>
        <a:lstStyle/>
        <a:p>
          <a:pPr>
            <a:defRPr sz="1400"/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8.5901182892915554E-2"/>
          <c:y val="0.15654512017164965"/>
          <c:w val="0.86900204864083708"/>
          <c:h val="0.3435372379825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(Anual!$B$4,Anual!$C$5:$H$5)</c:f>
              <c:strCache>
                <c:ptCount val="7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  <c:pt idx="6">
                  <c:v>Avancemos más</c:v>
                </c:pt>
              </c:strCache>
            </c:strRef>
          </c:cat>
          <c:val>
            <c:numRef>
              <c:f>Anual!$B$63:$H$63</c:f>
              <c:numCache>
                <c:formatCode>_(* #,##0_);_(* \(#,##0\);_(* "-"??_);_(@_)</c:formatCode>
                <c:ptCount val="7"/>
                <c:pt idx="0">
                  <c:v>114.03571017240178</c:v>
                </c:pt>
                <c:pt idx="1">
                  <c:v>109.64819478339132</c:v>
                </c:pt>
                <c:pt idx="2">
                  <c:v>152.715</c:v>
                </c:pt>
                <c:pt idx="3">
                  <c:v>90.481884057970987</c:v>
                </c:pt>
                <c:pt idx="4">
                  <c:v>64.624180527991626</c:v>
                </c:pt>
                <c:pt idx="5">
                  <c:v>98.678571428571431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87816"/>
        <c:axId val="197888208"/>
      </c:barChart>
      <c:catAx>
        <c:axId val="197887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R"/>
          </a:p>
        </c:txPr>
        <c:crossAx val="197888208"/>
        <c:crosses val="autoZero"/>
        <c:auto val="1"/>
        <c:lblAlgn val="ctr"/>
        <c:lblOffset val="100"/>
        <c:noMultiLvlLbl val="0"/>
      </c:catAx>
      <c:valAx>
        <c:axId val="1978882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97887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890966358779992"/>
          <c:y val="0.76815334458618589"/>
          <c:w val="0.30959984638051224"/>
          <c:h val="7.611185993877325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Índice de Avance en Beneficiarios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334039838618738E-2"/>
          <c:y val="0.14891895078733827"/>
          <c:w val="0.60988613397824021"/>
          <c:h val="0.71853846963862456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val>
            <c:numRef>
              <c:f>'I Trimestre'!$B$49</c:f>
              <c:numCache>
                <c:formatCode>_(* #,##0_);_(* \(#,##0\);_(* "-"??_);_(@_)</c:formatCode>
                <c:ptCount val="1"/>
                <c:pt idx="0">
                  <c:v>57.011699155820736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val>
            <c:numRef>
              <c:f>'II Trimestre'!$B$49</c:f>
              <c:numCache>
                <c:formatCode>#,##0.00</c:formatCode>
                <c:ptCount val="1"/>
                <c:pt idx="0">
                  <c:v>91.091371065781573</c:v>
                </c:pt>
              </c:numCache>
            </c:numRef>
          </c:val>
        </c:ser>
        <c:ser>
          <c:idx val="2"/>
          <c:order val="2"/>
          <c:tx>
            <c:v>Primer Semestre</c:v>
          </c:tx>
          <c:invertIfNegative val="0"/>
          <c:val>
            <c:numRef>
              <c:f>'I Semestre'!$B$49</c:f>
              <c:numCache>
                <c:formatCode>#,##0.00</c:formatCode>
                <c:ptCount val="1"/>
                <c:pt idx="0">
                  <c:v>74.260613925945179</c:v>
                </c:pt>
              </c:numCache>
            </c:numRef>
          </c:val>
        </c:ser>
        <c:ser>
          <c:idx val="3"/>
          <c:order val="3"/>
          <c:tx>
            <c:v>Tercer Trimestre</c:v>
          </c:tx>
          <c:invertIfNegative val="0"/>
          <c:val>
            <c:numRef>
              <c:f>'III Trimestre'!$B$49</c:f>
              <c:numCache>
                <c:formatCode>#,##0.00</c:formatCode>
                <c:ptCount val="1"/>
                <c:pt idx="0">
                  <c:v>109.92706803207443</c:v>
                </c:pt>
              </c:numCache>
            </c:numRef>
          </c:val>
        </c:ser>
        <c:ser>
          <c:idx val="4"/>
          <c:order val="4"/>
          <c:tx>
            <c:v>Tercer Trimestre Acumulado</c:v>
          </c:tx>
          <c:invertIfNegative val="0"/>
          <c:val>
            <c:numRef>
              <c:f>'III T Acumulado'!$B$49</c:f>
              <c:numCache>
                <c:formatCode>#,##0.00</c:formatCode>
                <c:ptCount val="1"/>
                <c:pt idx="0">
                  <c:v>85.923206759891883</c:v>
                </c:pt>
              </c:numCache>
            </c:numRef>
          </c:val>
        </c:ser>
        <c:ser>
          <c:idx val="5"/>
          <c:order val="5"/>
          <c:tx>
            <c:v>Cuarto Trimestre</c:v>
          </c:tx>
          <c:invertIfNegative val="0"/>
          <c:val>
            <c:numRef>
              <c:f>'IV Trimestre'!$B$49</c:f>
              <c:numCache>
                <c:formatCode>#,##0.00</c:formatCode>
                <c:ptCount val="1"/>
                <c:pt idx="0">
                  <c:v>182.19111964517424</c:v>
                </c:pt>
              </c:numCache>
            </c:numRef>
          </c:val>
        </c:ser>
        <c:ser>
          <c:idx val="6"/>
          <c:order val="6"/>
          <c:tx>
            <c:v>Anual</c:v>
          </c:tx>
          <c:invertIfNegative val="0"/>
          <c:val>
            <c:numRef>
              <c:f>Anual!$B$49</c:f>
              <c:numCache>
                <c:formatCode>_(* #,##0_);_(* \(#,##0\);_(* "-"??_);_(@_)</c:formatCode>
                <c:ptCount val="1"/>
                <c:pt idx="0">
                  <c:v>109.99018498121245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20760"/>
        <c:axId val="197121152"/>
      </c:barChart>
      <c:catAx>
        <c:axId val="197120760"/>
        <c:scaling>
          <c:orientation val="minMax"/>
        </c:scaling>
        <c:delete val="1"/>
        <c:axPos val="b"/>
        <c:majorTickMark val="out"/>
        <c:minorTickMark val="none"/>
        <c:tickLblPos val="none"/>
        <c:crossAx val="197121152"/>
        <c:crosses val="autoZero"/>
        <c:auto val="1"/>
        <c:lblAlgn val="ctr"/>
        <c:lblOffset val="100"/>
        <c:noMultiLvlLbl val="0"/>
      </c:catAx>
      <c:valAx>
        <c:axId val="1971211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97120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213583447243513"/>
          <c:y val="0.10563000618571131"/>
          <c:w val="0.24683459414169129"/>
          <c:h val="0.7971083533586016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Índice de Efectividad en Gasto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360308180541415E-2"/>
          <c:y val="0.16476765382034889"/>
          <c:w val="0.56584061498180882"/>
          <c:h val="0.7016934174954613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val>
            <c:numRef>
              <c:f>'I Trimestre'!$B$45</c:f>
              <c:numCache>
                <c:formatCode>_(* #,##0_);_(* \(#,##0\);_(* "-"??_);_(@_)</c:formatCode>
                <c:ptCount val="1"/>
                <c:pt idx="0">
                  <c:v>52.406193054096114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val>
            <c:numRef>
              <c:f>'II Trimestre'!$B$45</c:f>
              <c:numCache>
                <c:formatCode>#,##0.00</c:formatCode>
                <c:ptCount val="1"/>
                <c:pt idx="0">
                  <c:v>91.476348318810793</c:v>
                </c:pt>
              </c:numCache>
            </c:numRef>
          </c:val>
        </c:ser>
        <c:ser>
          <c:idx val="2"/>
          <c:order val="2"/>
          <c:tx>
            <c:v>Primer Semestre</c:v>
          </c:tx>
          <c:invertIfNegative val="0"/>
          <c:val>
            <c:numRef>
              <c:f>'I Semestre'!$B$45</c:f>
              <c:numCache>
                <c:formatCode>#,##0.00</c:formatCode>
                <c:ptCount val="1"/>
                <c:pt idx="0">
                  <c:v>72.136580906849261</c:v>
                </c:pt>
              </c:numCache>
            </c:numRef>
          </c:val>
        </c:ser>
        <c:ser>
          <c:idx val="3"/>
          <c:order val="3"/>
          <c:tx>
            <c:v>Tercer Trimestre</c:v>
          </c:tx>
          <c:invertIfNegative val="0"/>
          <c:val>
            <c:numRef>
              <c:f>'III Trimestre'!$B$45</c:f>
              <c:numCache>
                <c:formatCode>#,##0.00</c:formatCode>
                <c:ptCount val="1"/>
                <c:pt idx="0">
                  <c:v>98.112585408468362</c:v>
                </c:pt>
              </c:numCache>
            </c:numRef>
          </c:val>
        </c:ser>
        <c:ser>
          <c:idx val="4"/>
          <c:order val="4"/>
          <c:tx>
            <c:v>Tercer Trimestre Acumulado</c:v>
          </c:tx>
          <c:invertIfNegative val="0"/>
          <c:val>
            <c:numRef>
              <c:f>'III T Acumulado'!$B$45</c:f>
              <c:numCache>
                <c:formatCode>#,##0.00</c:formatCode>
                <c:ptCount val="1"/>
                <c:pt idx="0">
                  <c:v>80.982821821236271</c:v>
                </c:pt>
              </c:numCache>
            </c:numRef>
          </c:val>
        </c:ser>
        <c:ser>
          <c:idx val="6"/>
          <c:order val="5"/>
          <c:tx>
            <c:v>Cuarto Trimestre</c:v>
          </c:tx>
          <c:invertIfNegative val="0"/>
          <c:val>
            <c:numRef>
              <c:f>'IV Trimestre'!$B$45</c:f>
              <c:numCache>
                <c:formatCode>#,##0.00</c:formatCode>
                <c:ptCount val="1"/>
                <c:pt idx="0">
                  <c:v>166.54997688532697</c:v>
                </c:pt>
              </c:numCache>
            </c:numRef>
          </c:val>
        </c:ser>
        <c:ser>
          <c:idx val="5"/>
          <c:order val="6"/>
          <c:tx>
            <c:v>Anual</c:v>
          </c:tx>
          <c:invertIfNegative val="0"/>
          <c:val>
            <c:numRef>
              <c:f>Anual!$B$45</c:f>
              <c:numCache>
                <c:formatCode>_(* #,##0_);_(* \(#,##0\);_(* "-"??_);_(@_)</c:formatCode>
                <c:ptCount val="1"/>
                <c:pt idx="0">
                  <c:v>103.12137898568213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21936"/>
        <c:axId val="197122328"/>
      </c:barChart>
      <c:catAx>
        <c:axId val="197121936"/>
        <c:scaling>
          <c:orientation val="minMax"/>
        </c:scaling>
        <c:delete val="1"/>
        <c:axPos val="b"/>
        <c:majorTickMark val="out"/>
        <c:minorTickMark val="none"/>
        <c:tickLblPos val="none"/>
        <c:crossAx val="197122328"/>
        <c:crosses val="autoZero"/>
        <c:auto val="1"/>
        <c:lblAlgn val="ctr"/>
        <c:lblOffset val="100"/>
        <c:noMultiLvlLbl val="0"/>
      </c:catAx>
      <c:valAx>
        <c:axId val="1971223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97121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Índice de Avance en Gasto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640135817842225E-2"/>
          <c:y val="0.14649927083003797"/>
          <c:w val="0.62308533928330445"/>
          <c:h val="0.68766124084815705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val>
            <c:numRef>
              <c:f>'I Trimestre'!$B$50</c:f>
              <c:numCache>
                <c:formatCode>_(* #,##0_);_(* \(#,##0\);_(* "-"??_);_(@_)</c:formatCode>
                <c:ptCount val="1"/>
                <c:pt idx="0">
                  <c:v>13.101548263524029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val>
            <c:numRef>
              <c:f>'II Trimestre'!$B$50</c:f>
              <c:numCache>
                <c:formatCode>#,##0.00</c:formatCode>
                <c:ptCount val="1"/>
                <c:pt idx="0">
                  <c:v>22.581684833040057</c:v>
                </c:pt>
              </c:numCache>
            </c:numRef>
          </c:val>
        </c:ser>
        <c:ser>
          <c:idx val="2"/>
          <c:order val="2"/>
          <c:tx>
            <c:v>Primer Semestre</c:v>
          </c:tx>
          <c:invertIfNegative val="0"/>
          <c:val>
            <c:numRef>
              <c:f>'I Semestre'!$B$50</c:f>
              <c:numCache>
                <c:formatCode>#,##0.00</c:formatCode>
                <c:ptCount val="1"/>
                <c:pt idx="0">
                  <c:v>35.262458726782384</c:v>
                </c:pt>
              </c:numCache>
            </c:numRef>
          </c:val>
        </c:ser>
        <c:ser>
          <c:idx val="3"/>
          <c:order val="3"/>
          <c:tx>
            <c:v>Tercer Trimestre</c:v>
          </c:tx>
          <c:invertIfNegative val="0"/>
          <c:val>
            <c:numRef>
              <c:f>'III Trimestre'!$B$50</c:f>
              <c:numCache>
                <c:formatCode>#,##0.00</c:formatCode>
                <c:ptCount val="1"/>
                <c:pt idx="0">
                  <c:v>24.76789799397562</c:v>
                </c:pt>
              </c:numCache>
            </c:numRef>
          </c:val>
        </c:ser>
        <c:ser>
          <c:idx val="4"/>
          <c:order val="4"/>
          <c:tx>
            <c:v>Tercer Trimestre Acumulado</c:v>
          </c:tx>
          <c:invertIfNegative val="0"/>
          <c:val>
            <c:numRef>
              <c:f>'III T Acumulado'!$B$50</c:f>
              <c:numCache>
                <c:formatCode>#,##0.00</c:formatCode>
                <c:ptCount val="1"/>
                <c:pt idx="0">
                  <c:v>60.030356720758007</c:v>
                </c:pt>
              </c:numCache>
            </c:numRef>
          </c:val>
        </c:ser>
        <c:ser>
          <c:idx val="5"/>
          <c:order val="5"/>
          <c:tx>
            <c:v>Cuarto Trimestre</c:v>
          </c:tx>
          <c:invertIfNegative val="0"/>
          <c:val>
            <c:numRef>
              <c:f>'IV Trimestre'!$B$50</c:f>
              <c:numCache>
                <c:formatCode>#,##0.00</c:formatCode>
                <c:ptCount val="1"/>
                <c:pt idx="0">
                  <c:v>43.091022264924121</c:v>
                </c:pt>
              </c:numCache>
            </c:numRef>
          </c:val>
        </c:ser>
        <c:ser>
          <c:idx val="6"/>
          <c:order val="6"/>
          <c:tx>
            <c:v>Anual</c:v>
          </c:tx>
          <c:invertIfNegative val="0"/>
          <c:val>
            <c:numRef>
              <c:f>Anual!$B$50</c:f>
              <c:numCache>
                <c:formatCode>_(* #,##0_);_(* \(#,##0\);_(* "-"??_);_(@_)</c:formatCode>
                <c:ptCount val="1"/>
                <c:pt idx="0">
                  <c:v>103.12137898568213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23112"/>
        <c:axId val="197123504"/>
      </c:barChart>
      <c:catAx>
        <c:axId val="197123112"/>
        <c:scaling>
          <c:orientation val="minMax"/>
        </c:scaling>
        <c:delete val="1"/>
        <c:axPos val="b"/>
        <c:majorTickMark val="out"/>
        <c:minorTickMark val="none"/>
        <c:tickLblPos val="none"/>
        <c:crossAx val="197123504"/>
        <c:crosses val="autoZero"/>
        <c:auto val="1"/>
        <c:lblAlgn val="ctr"/>
        <c:lblOffset val="100"/>
        <c:noMultiLvlLbl val="0"/>
      </c:catAx>
      <c:valAx>
        <c:axId val="1971235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97123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105288420874126"/>
          <c:y val="9.2343126107634316E-2"/>
          <c:w val="0.25028874304062637"/>
          <c:h val="0.7841566967949398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613736586840795E-2"/>
          <c:y val="0.14585301837270342"/>
          <c:w val="0.79150395238682814"/>
          <c:h val="0.43045236992434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(Anual!$B$4,Anual!$C$5:$H$5)</c:f>
              <c:strCache>
                <c:ptCount val="7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  <c:pt idx="6">
                  <c:v>Avancemos más</c:v>
                </c:pt>
              </c:strCache>
            </c:strRef>
          </c:cat>
          <c:val>
            <c:numRef>
              <c:f>Anual!$B$40:$H$40</c:f>
              <c:numCache>
                <c:formatCode>_(* #,##0_);_(* \(#,##0\);_(* "-"??_);_(@_)</c:formatCode>
                <c:ptCount val="7"/>
                <c:pt idx="0">
                  <c:v>33.621492718867046</c:v>
                </c:pt>
                <c:pt idx="1">
                  <c:v>34.505370468247499</c:v>
                </c:pt>
                <c:pt idx="2">
                  <c:v>55.840964931874026</c:v>
                </c:pt>
                <c:pt idx="3">
                  <c:v>25.686843868662052</c:v>
                </c:pt>
                <c:pt idx="4">
                  <c:v>11.281224818694602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(Anual!$B$4,Anual!$C$5:$H$5)</c:f>
              <c:strCache>
                <c:ptCount val="7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  <c:pt idx="6">
                  <c:v>Avancemos más</c:v>
                </c:pt>
              </c:strCache>
            </c:strRef>
          </c:cat>
          <c:val>
            <c:numRef>
              <c:f>Anual!$B$41:$H$41</c:f>
              <c:numCache>
                <c:formatCode>_(* #,##0_);_(* \(#,##0\);_(* "-"??_);_(@_)</c:formatCode>
                <c:ptCount val="7"/>
                <c:pt idx="0">
                  <c:v>37.062339688686492</c:v>
                </c:pt>
                <c:pt idx="1">
                  <c:v>37.834515821754799</c:v>
                </c:pt>
                <c:pt idx="2">
                  <c:v>85.277529595711414</c:v>
                </c:pt>
                <c:pt idx="3">
                  <c:v>23.241940287394829</c:v>
                </c:pt>
                <c:pt idx="4">
                  <c:v>7.5463336019339247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24288"/>
        <c:axId val="197124680"/>
      </c:barChart>
      <c:catAx>
        <c:axId val="19712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R"/>
          </a:p>
        </c:txPr>
        <c:crossAx val="197124680"/>
        <c:crosses val="autoZero"/>
        <c:auto val="1"/>
        <c:lblAlgn val="ctr"/>
        <c:lblOffset val="100"/>
        <c:noMultiLvlLbl val="0"/>
      </c:catAx>
      <c:valAx>
        <c:axId val="1971246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124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546835959920689"/>
          <c:y val="0.79575328083989505"/>
          <c:w val="0.53847504899492316"/>
          <c:h val="7.09133858267716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Resultado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(Anual!$B$4,Anual!$C$5:$H$5)</c:f>
              <c:strCache>
                <c:ptCount val="7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  <c:pt idx="6">
                  <c:v>Avancemos más</c:v>
                </c:pt>
              </c:strCache>
            </c:strRef>
          </c:cat>
          <c:val>
            <c:numRef>
              <c:f>Anual!$B$44:$H$44</c:f>
              <c:numCache>
                <c:formatCode>_(* #,##0_);_(* \(#,##0\);_(* "-"??_);_(@_)</c:formatCode>
                <c:ptCount val="7"/>
                <c:pt idx="0">
                  <c:v>110.23406961312155</c:v>
                </c:pt>
                <c:pt idx="1">
                  <c:v>109.64819478339132</c:v>
                </c:pt>
                <c:pt idx="2">
                  <c:v>152.715</c:v>
                </c:pt>
                <c:pt idx="3">
                  <c:v>90.481884057971001</c:v>
                </c:pt>
                <c:pt idx="4">
                  <c:v>66.892857142857139</c:v>
                </c:pt>
                <c:pt idx="5">
                  <c:v>98.678571428571431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(Anual!$B$4,Anual!$C$5:$H$5)</c:f>
              <c:strCache>
                <c:ptCount val="7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  <c:pt idx="6">
                  <c:v>Avancemos más</c:v>
                </c:pt>
              </c:strCache>
            </c:strRef>
          </c:cat>
          <c:val>
            <c:numRef>
              <c:f>Anual!$B$45:$H$45</c:f>
              <c:numCache>
                <c:formatCode>_(* #,##0_);_(* \(#,##0\);_(* "-"??_);_(@_)</c:formatCode>
                <c:ptCount val="7"/>
                <c:pt idx="0">
                  <c:v>103.12137898568213</c:v>
                </c:pt>
                <c:pt idx="1">
                  <c:v>109.64819478339132</c:v>
                </c:pt>
                <c:pt idx="2">
                  <c:v>152.715</c:v>
                </c:pt>
                <c:pt idx="3">
                  <c:v>90.481884057971016</c:v>
                </c:pt>
                <c:pt idx="4">
                  <c:v>71.760374881562953</c:v>
                </c:pt>
                <c:pt idx="5">
                  <c:v>98.678571428571431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(Anual!$B$4,Anual!$C$5:$H$5)</c:f>
              <c:strCache>
                <c:ptCount val="7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  <c:pt idx="6">
                  <c:v>Avancemos más</c:v>
                </c:pt>
              </c:strCache>
            </c:strRef>
          </c:cat>
          <c:val>
            <c:numRef>
              <c:f>Anual!$B$46:$H$46</c:f>
              <c:numCache>
                <c:formatCode>_(* #,##0_);_(* \(#,##0\);_(* "-"??_);_(@_)</c:formatCode>
                <c:ptCount val="7"/>
                <c:pt idx="0">
                  <c:v>106.67772429940183</c:v>
                </c:pt>
                <c:pt idx="1">
                  <c:v>109.64819478339132</c:v>
                </c:pt>
                <c:pt idx="2">
                  <c:v>152.715</c:v>
                </c:pt>
                <c:pt idx="3">
                  <c:v>90.481884057971001</c:v>
                </c:pt>
                <c:pt idx="4">
                  <c:v>69.326616012210053</c:v>
                </c:pt>
                <c:pt idx="5">
                  <c:v>98.678571428571431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25464"/>
        <c:axId val="197125856"/>
      </c:barChart>
      <c:catAx>
        <c:axId val="197125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7125856"/>
        <c:crosses val="autoZero"/>
        <c:auto val="1"/>
        <c:lblAlgn val="ctr"/>
        <c:lblOffset val="100"/>
        <c:noMultiLvlLbl val="0"/>
      </c:catAx>
      <c:valAx>
        <c:axId val="1971258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125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078237445102446E-2"/>
          <c:y val="0.15384698064572444"/>
          <c:w val="0.53714755444309381"/>
          <c:h val="0.41689927712161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(Anual!$B$4,Anual!$C$5:$H$5)</c:f>
              <c:strCache>
                <c:ptCount val="7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  <c:pt idx="6">
                  <c:v>Avancemos más</c:v>
                </c:pt>
              </c:strCache>
            </c:strRef>
          </c:cat>
          <c:val>
            <c:numRef>
              <c:f>Anual!$B$49:$H$49</c:f>
              <c:numCache>
                <c:formatCode>_(* #,##0_);_(* \(#,##0\);_(* "-"??_);_(@_)</c:formatCode>
                <c:ptCount val="7"/>
                <c:pt idx="0">
                  <c:v>109.99018498121245</c:v>
                </c:pt>
                <c:pt idx="1">
                  <c:v>109.64819478339132</c:v>
                </c:pt>
                <c:pt idx="2">
                  <c:v>152.71754529242153</c:v>
                </c:pt>
                <c:pt idx="3">
                  <c:v>90.481884057971001</c:v>
                </c:pt>
                <c:pt idx="4">
                  <c:v>66.892857142857139</c:v>
                </c:pt>
                <c:pt idx="5">
                  <c:v>98.678571428571431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(Anual!$B$4,Anual!$C$5:$H$5)</c:f>
              <c:strCache>
                <c:ptCount val="7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  <c:pt idx="6">
                  <c:v>Avancemos más</c:v>
                </c:pt>
              </c:strCache>
            </c:strRef>
          </c:cat>
          <c:val>
            <c:numRef>
              <c:f>Anual!$B$50:$H$50</c:f>
              <c:numCache>
                <c:formatCode>_(* #,##0_);_(* \(#,##0\);_(* "-"??_);_(@_)</c:formatCode>
                <c:ptCount val="7"/>
                <c:pt idx="0">
                  <c:v>103.12137898568213</c:v>
                </c:pt>
                <c:pt idx="1">
                  <c:v>109.64819478339132</c:v>
                </c:pt>
                <c:pt idx="2">
                  <c:v>152.715</c:v>
                </c:pt>
                <c:pt idx="3">
                  <c:v>90.481884057971016</c:v>
                </c:pt>
                <c:pt idx="4">
                  <c:v>71.760374881562953</c:v>
                </c:pt>
                <c:pt idx="5">
                  <c:v>98.678571428571431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(Anual!$B$4,Anual!$C$5:$H$5)</c:f>
              <c:strCache>
                <c:ptCount val="7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  <c:pt idx="6">
                  <c:v>Avancemos más</c:v>
                </c:pt>
              </c:strCache>
            </c:strRef>
          </c:cat>
          <c:val>
            <c:numRef>
              <c:f>Anual!$B$51:$H$51</c:f>
              <c:numCache>
                <c:formatCode>_(* #,##0_);_(* \(#,##0\);_(* "-"??_);_(@_)</c:formatCode>
                <c:ptCount val="7"/>
                <c:pt idx="0">
                  <c:v>106.55578198344729</c:v>
                </c:pt>
                <c:pt idx="1">
                  <c:v>109.64819478339132</c:v>
                </c:pt>
                <c:pt idx="2">
                  <c:v>152.71627264621077</c:v>
                </c:pt>
                <c:pt idx="3">
                  <c:v>90.481884057971001</c:v>
                </c:pt>
                <c:pt idx="4">
                  <c:v>69.326616012210053</c:v>
                </c:pt>
                <c:pt idx="5">
                  <c:v>98.678571428571431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26640"/>
        <c:axId val="197127032"/>
      </c:barChart>
      <c:catAx>
        <c:axId val="197126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7127032"/>
        <c:crosses val="autoZero"/>
        <c:auto val="1"/>
        <c:lblAlgn val="ctr"/>
        <c:lblOffset val="100"/>
        <c:noMultiLvlLbl val="0"/>
      </c:catAx>
      <c:valAx>
        <c:axId val="1971270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126640"/>
        <c:crosses val="autoZero"/>
        <c:crossBetween val="between"/>
        <c:majorUnit val="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Expansión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(Anual!$B$4,Anual!$C$5:$G$5)</c:f>
              <c:strCache>
                <c:ptCount val="6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</c:strCache>
            </c:strRef>
          </c:cat>
          <c:val>
            <c:numRef>
              <c:f>Anual!$B$56:$G$56</c:f>
              <c:numCache>
                <c:formatCode>_(* #,##0_);_(* \(#,##0\);_(* "-"??_);_(@_)</c:formatCode>
                <c:ptCount val="6"/>
                <c:pt idx="0">
                  <c:v>-2.4654116649928448</c:v>
                </c:pt>
                <c:pt idx="1">
                  <c:v>8.8953538964980261</c:v>
                </c:pt>
                <c:pt idx="2">
                  <c:v>50.3149709636143</c:v>
                </c:pt>
                <c:pt idx="3">
                  <c:v>-72.242352836564123</c:v>
                </c:pt>
                <c:pt idx="4">
                  <c:v>-76.838841461180522</c:v>
                </c:pt>
                <c:pt idx="5">
                  <c:v>-72.411689003283925</c:v>
                </c:pt>
              </c:numCache>
            </c:numRef>
          </c:val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(Anual!$B$4,Anual!$C$5:$G$5)</c:f>
              <c:strCache>
                <c:ptCount val="6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</c:strCache>
            </c:strRef>
          </c:cat>
          <c:val>
            <c:numRef>
              <c:f>Anual!$B$57:$G$57</c:f>
              <c:numCache>
                <c:formatCode>_(* #,##0_);_(* \(#,##0\);_(* "-"??_);_(@_)</c:formatCode>
                <c:ptCount val="6"/>
                <c:pt idx="0">
                  <c:v>-26.415822282978517</c:v>
                </c:pt>
                <c:pt idx="1">
                  <c:v>-28.913929282115358</c:v>
                </c:pt>
                <c:pt idx="2">
                  <c:v>0.9949705873600001</c:v>
                </c:pt>
                <c:pt idx="3">
                  <c:v>-29.441647312775842</c:v>
                </c:pt>
                <c:pt idx="4">
                  <c:v>-25.87681535236328</c:v>
                </c:pt>
                <c:pt idx="5">
                  <c:v>-25.916988416988417</c:v>
                </c:pt>
              </c:numCache>
            </c:numRef>
          </c:val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(Anual!$B$4,Anual!$C$5:$G$5)</c:f>
              <c:strCache>
                <c:ptCount val="6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</c:strCache>
            </c:strRef>
          </c:cat>
          <c:val>
            <c:numRef>
              <c:f>Anual!$B$58:$G$58</c:f>
              <c:numCache>
                <c:formatCode>_(* #,##0_);_(* \(#,##0\);_(* "-"??_);_(@_)</c:formatCode>
                <c:ptCount val="6"/>
                <c:pt idx="0">
                  <c:v>-24.555812483384809</c:v>
                </c:pt>
                <c:pt idx="1">
                  <c:v>-34.720749624038184</c:v>
                </c:pt>
                <c:pt idx="2">
                  <c:v>-32.811103285375921</c:v>
                </c:pt>
                <c:pt idx="3">
                  <c:v>154.19428481016234</c:v>
                </c:pt>
                <c:pt idx="4">
                  <c:v>220.03228389202491</c:v>
                </c:pt>
                <c:pt idx="5">
                  <c:v>168.53043519710181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27816"/>
        <c:axId val="197128208"/>
      </c:barChart>
      <c:catAx>
        <c:axId val="197127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7128208"/>
        <c:crosses val="autoZero"/>
        <c:auto val="1"/>
        <c:lblAlgn val="ctr"/>
        <c:lblOffset val="100"/>
        <c:noMultiLvlLbl val="0"/>
      </c:catAx>
      <c:valAx>
        <c:axId val="1971282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127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Gasto Medio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5783967625709162"/>
          <c:y val="0.12748071845530651"/>
          <c:w val="0.61841362584278958"/>
          <c:h val="0.37101775410791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Anual!$A$61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(Anual!$B$4,Anual!$C$5:$H$5)</c:f>
              <c:strCache>
                <c:ptCount val="7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  <c:pt idx="6">
                  <c:v>Avancemos más</c:v>
                </c:pt>
              </c:strCache>
            </c:strRef>
          </c:cat>
          <c:val>
            <c:numRef>
              <c:f>Anual!$B$61:$H$61</c:f>
              <c:numCache>
                <c:formatCode>_(* #,##0_);_(* \(#,##0\);_(* "-"??_);_(@_)</c:formatCode>
                <c:ptCount val="7"/>
                <c:pt idx="0">
                  <c:v>14229.202743613008</c:v>
                </c:pt>
                <c:pt idx="1">
                  <c:v>11000</c:v>
                </c:pt>
                <c:pt idx="2">
                  <c:v>17000</c:v>
                </c:pt>
                <c:pt idx="3">
                  <c:v>40000</c:v>
                </c:pt>
                <c:pt idx="4">
                  <c:v>65000</c:v>
                </c:pt>
                <c:pt idx="5">
                  <c:v>60000</c:v>
                </c:pt>
                <c:pt idx="6">
                  <c:v>193525.25252525252</c:v>
                </c:pt>
              </c:numCache>
            </c:numRef>
          </c:val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(Anual!$B$4,Anual!$C$5:$H$5)</c:f>
              <c:strCache>
                <c:ptCount val="7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  <c:pt idx="6">
                  <c:v>Avancemos más</c:v>
                </c:pt>
              </c:strCache>
            </c:strRef>
          </c:cat>
          <c:val>
            <c:numRef>
              <c:f>Anual!$B$62:$H$62</c:f>
              <c:numCache>
                <c:formatCode>_(* #,##0_);_(* \(#,##0\);_(* "-"??_);_(@_)</c:formatCode>
                <c:ptCount val="7"/>
                <c:pt idx="0">
                  <c:v>13311.084440028355</c:v>
                </c:pt>
                <c:pt idx="1">
                  <c:v>11000</c:v>
                </c:pt>
                <c:pt idx="2">
                  <c:v>17000</c:v>
                </c:pt>
                <c:pt idx="3">
                  <c:v>40000.000000000007</c:v>
                </c:pt>
                <c:pt idx="4">
                  <c:v>69729.782319511243</c:v>
                </c:pt>
                <c:pt idx="5">
                  <c:v>60000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invertIfNegative val="0"/>
          <c:cat>
            <c:strRef>
              <c:f>(Anual!$B$4,Anual!$C$5:$H$5)</c:f>
              <c:strCache>
                <c:ptCount val="7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  <c:pt idx="6">
                  <c:v>Avancemos más</c:v>
                </c:pt>
              </c:strCache>
            </c:strRef>
          </c:cat>
          <c:val>
            <c:numRef>
              <c:f>Anual!$B$64:$H$64</c:f>
              <c:numCache>
                <c:formatCode>_(* #,##0_);_(* \(#,##0\);_(* "-"??_);_(@_)</c:formatCode>
                <c:ptCount val="7"/>
                <c:pt idx="0">
                  <c:v>170750.4329233561</c:v>
                </c:pt>
                <c:pt idx="1">
                  <c:v>132000</c:v>
                </c:pt>
                <c:pt idx="2">
                  <c:v>204000</c:v>
                </c:pt>
                <c:pt idx="3">
                  <c:v>480000</c:v>
                </c:pt>
                <c:pt idx="4">
                  <c:v>780000</c:v>
                </c:pt>
                <c:pt idx="5">
                  <c:v>720000</c:v>
                </c:pt>
                <c:pt idx="6">
                  <c:v>2322303.0303030303</c:v>
                </c:pt>
              </c:numCache>
            </c:numRef>
          </c:val>
        </c:ser>
        <c:ser>
          <c:idx val="3"/>
          <c:order val="3"/>
          <c:tx>
            <c:strRef>
              <c:f>Anual!$A$65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invertIfNegative val="0"/>
          <c:cat>
            <c:strRef>
              <c:f>(Anual!$B$4,Anual!$C$5:$H$5)</c:f>
              <c:strCache>
                <c:ptCount val="7"/>
                <c:pt idx="0">
                  <c:v>Programa</c:v>
                </c:pt>
                <c:pt idx="1">
                  <c:v>Preescolar y Primaria</c:v>
                </c:pt>
                <c:pt idx="2">
                  <c:v>NEE</c:v>
                </c:pt>
                <c:pt idx="3">
                  <c:v>TED</c:v>
                </c:pt>
                <c:pt idx="4">
                  <c:v>Post-secundaria Regular</c:v>
                </c:pt>
                <c:pt idx="5">
                  <c:v>Adolesc. Padres y Madres</c:v>
                </c:pt>
                <c:pt idx="6">
                  <c:v>Avancemos más</c:v>
                </c:pt>
              </c:strCache>
            </c:strRef>
          </c:cat>
          <c:val>
            <c:numRef>
              <c:f>Anual!$B$65:$H$65</c:f>
              <c:numCache>
                <c:formatCode>_(* #,##0_);_(* \(#,##0\);_(* "-"??_);_(@_)</c:formatCode>
                <c:ptCount val="7"/>
                <c:pt idx="0">
                  <c:v>159733.0132803403</c:v>
                </c:pt>
                <c:pt idx="1">
                  <c:v>132000</c:v>
                </c:pt>
                <c:pt idx="2">
                  <c:v>204000</c:v>
                </c:pt>
                <c:pt idx="3">
                  <c:v>480000.00000000006</c:v>
                </c:pt>
                <c:pt idx="4">
                  <c:v>836757.38783413498</c:v>
                </c:pt>
                <c:pt idx="5">
                  <c:v>720000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85072"/>
        <c:axId val="197885464"/>
      </c:barChart>
      <c:catAx>
        <c:axId val="197885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7885464"/>
        <c:crosses val="autoZero"/>
        <c:auto val="1"/>
        <c:lblAlgn val="ctr"/>
        <c:lblOffset val="100"/>
        <c:noMultiLvlLbl val="0"/>
      </c:catAx>
      <c:valAx>
        <c:axId val="197885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Colones Corrientes</a:t>
                </a:r>
              </a:p>
            </c:rich>
          </c:tx>
          <c:layout>
            <c:manualLayout>
              <c:xMode val="edge"/>
              <c:yMode val="edge"/>
              <c:x val="0.19472292278097392"/>
              <c:y val="0.19235555608333849"/>
            </c:manualLayout>
          </c:layout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97885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72</xdr:row>
      <xdr:rowOff>100011</xdr:rowOff>
    </xdr:from>
    <xdr:to>
      <xdr:col>2</xdr:col>
      <xdr:colOff>933449</xdr:colOff>
      <xdr:row>89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72</xdr:row>
      <xdr:rowOff>133350</xdr:rowOff>
    </xdr:from>
    <xdr:to>
      <xdr:col>7</xdr:col>
      <xdr:colOff>238125</xdr:colOff>
      <xdr:row>89</xdr:row>
      <xdr:rowOff>66676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90</xdr:row>
      <xdr:rowOff>52387</xdr:rowOff>
    </xdr:from>
    <xdr:to>
      <xdr:col>2</xdr:col>
      <xdr:colOff>952500</xdr:colOff>
      <xdr:row>107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74082</xdr:colOff>
      <xdr:row>90</xdr:row>
      <xdr:rowOff>71436</xdr:rowOff>
    </xdr:from>
    <xdr:to>
      <xdr:col>7</xdr:col>
      <xdr:colOff>245532</xdr:colOff>
      <xdr:row>107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74085</xdr:colOff>
      <xdr:row>0</xdr:row>
      <xdr:rowOff>0</xdr:rowOff>
    </xdr:from>
    <xdr:to>
      <xdr:col>15</xdr:col>
      <xdr:colOff>137583</xdr:colOff>
      <xdr:row>15</xdr:row>
      <xdr:rowOff>148167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243416</xdr:colOff>
      <xdr:row>16</xdr:row>
      <xdr:rowOff>94192</xdr:rowOff>
    </xdr:from>
    <xdr:to>
      <xdr:col>14</xdr:col>
      <xdr:colOff>698500</xdr:colOff>
      <xdr:row>32</xdr:row>
      <xdr:rowOff>74084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254000</xdr:colOff>
      <xdr:row>32</xdr:row>
      <xdr:rowOff>178858</xdr:rowOff>
    </xdr:from>
    <xdr:to>
      <xdr:col>14</xdr:col>
      <xdr:colOff>687915</xdr:colOff>
      <xdr:row>49</xdr:row>
      <xdr:rowOff>10584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222251</xdr:colOff>
      <xdr:row>49</xdr:row>
      <xdr:rowOff>83608</xdr:rowOff>
    </xdr:from>
    <xdr:to>
      <xdr:col>14</xdr:col>
      <xdr:colOff>709083</xdr:colOff>
      <xdr:row>65</xdr:row>
      <xdr:rowOff>31750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63499</xdr:colOff>
      <xdr:row>65</xdr:row>
      <xdr:rowOff>189439</xdr:rowOff>
    </xdr:from>
    <xdr:to>
      <xdr:col>18</xdr:col>
      <xdr:colOff>465667</xdr:colOff>
      <xdr:row>85</xdr:row>
      <xdr:rowOff>63499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84667</xdr:colOff>
      <xdr:row>87</xdr:row>
      <xdr:rowOff>62440</xdr:rowOff>
    </xdr:from>
    <xdr:to>
      <xdr:col>14</xdr:col>
      <xdr:colOff>84667</xdr:colOff>
      <xdr:row>101</xdr:row>
      <xdr:rowOff>138640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465666</xdr:colOff>
      <xdr:row>102</xdr:row>
      <xdr:rowOff>94190</xdr:rowOff>
    </xdr:from>
    <xdr:to>
      <xdr:col>14</xdr:col>
      <xdr:colOff>74083</xdr:colOff>
      <xdr:row>118</xdr:row>
      <xdr:rowOff>63499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0.15013</cdr:x>
      <cdr:y>0.9106</cdr:y>
    </cdr:from>
    <cdr:to>
      <cdr:x>0.75963</cdr:x>
      <cdr:y>0.99029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04383" y="3373966"/>
          <a:ext cx="4889500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 y  DESAF .</a:t>
          </a:r>
          <a:endParaRPr lang="es-CR" sz="900">
            <a:latin typeface="+mn-lt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0.89236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47922"/>
          <a:ext cx="4572000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y DESAF .</a:t>
          </a:r>
          <a:endParaRPr lang="es-CR" sz="900">
            <a:latin typeface="+mn-lt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0.02177</cdr:x>
      <cdr:y>0.90214</cdr:y>
    </cdr:from>
    <cdr:to>
      <cdr:x>0.95323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4300" y="2722031"/>
          <a:ext cx="4889500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y DESAF .</a:t>
          </a:r>
          <a:endParaRPr lang="es-CR" sz="900">
            <a:latin typeface="+mn-lt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0.01429</cdr:x>
      <cdr:y>0.90705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0908" y="2881311"/>
          <a:ext cx="4889500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y DESAF .</a:t>
          </a:r>
          <a:endParaRPr lang="es-CR" sz="900">
            <a:latin typeface="+mn-l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0.90691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876548"/>
          <a:ext cx="4831292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y DESAF.</a:t>
          </a:r>
          <a:endParaRPr lang="es-CR" sz="900">
            <a:latin typeface="+mn-lt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0.03104</cdr:x>
      <cdr:y>0.89998</cdr:y>
    </cdr:from>
    <cdr:to>
      <cdr:x>1</cdr:x>
      <cdr:y>0.99103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6633" y="2918883"/>
          <a:ext cx="4889500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y DESAF .</a:t>
          </a:r>
          <a:endParaRPr lang="es-CR" sz="900">
            <a:latin typeface="+mn-lt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0.90842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928936"/>
          <a:ext cx="4764617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y DESAF .</a:t>
          </a:r>
          <a:endParaRPr lang="es-CR" sz="900">
            <a:latin typeface="+mn-lt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0.01911</cdr:x>
      <cdr:y>0.90282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5248" y="2743197"/>
          <a:ext cx="4889500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 b="1">
              <a:latin typeface="+mn-lt"/>
            </a:rPr>
            <a:t>Fuente: </a:t>
          </a:r>
          <a:r>
            <a:rPr lang="es-CR" sz="900" b="1" baseline="0">
              <a:latin typeface="+mn-lt"/>
            </a:rPr>
            <a:t>IICE con  base en información de unidades ejecutoras, DESAF e INEC .</a:t>
          </a:r>
          <a:endParaRPr lang="es-CR" sz="900" b="1">
            <a:latin typeface="+mn-lt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</cdr:x>
      <cdr:y>0.90248</cdr:y>
    </cdr:from>
    <cdr:to>
      <cdr:x>0.98063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0217" y="2732614"/>
          <a:ext cx="4889500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 b="1">
              <a:latin typeface="+mn-lt"/>
            </a:rPr>
            <a:t>Fuente: </a:t>
          </a:r>
          <a:r>
            <a:rPr lang="es-CR" sz="900" b="1" baseline="0">
              <a:latin typeface="+mn-lt"/>
            </a:rPr>
            <a:t>IICE con  base en información de unidades ejecutoras y DESAF </a:t>
          </a:r>
          <a:r>
            <a:rPr lang="es-CR" sz="900" baseline="0">
              <a:latin typeface="+mn-lt"/>
            </a:rPr>
            <a:t>.</a:t>
          </a:r>
          <a:endParaRPr lang="es-CR" sz="900">
            <a:latin typeface="+mn-lt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0.02072</cdr:x>
      <cdr:y>0.90383</cdr:y>
    </cdr:from>
    <cdr:to>
      <cdr:x>0.99746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3717" y="2774948"/>
          <a:ext cx="4889500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 b="1">
              <a:latin typeface="+mn-lt"/>
            </a:rPr>
            <a:t>Fuente: </a:t>
          </a:r>
          <a:r>
            <a:rPr lang="es-CR" sz="900" b="1" baseline="0">
              <a:latin typeface="+mn-lt"/>
            </a:rPr>
            <a:t>IICE con  base en información de unidades ejecutoras y DESAF </a:t>
          </a:r>
          <a:r>
            <a:rPr lang="es-CR" sz="900" baseline="0">
              <a:latin typeface="+mn-lt"/>
            </a:rPr>
            <a:t>.</a:t>
          </a:r>
          <a:endParaRPr lang="es-CR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0.01423</cdr:x>
      <cdr:y>0.90145</cdr:y>
    </cdr:from>
    <cdr:to>
      <cdr:x>0.98075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1967" y="2700864"/>
          <a:ext cx="4889500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 b="1">
              <a:latin typeface="+mn-lt"/>
            </a:rPr>
            <a:t>Fuente: </a:t>
          </a:r>
          <a:r>
            <a:rPr lang="es-CR" sz="900" b="1" baseline="0">
              <a:latin typeface="+mn-lt"/>
            </a:rPr>
            <a:t>IICE con  base en información de unidades ejecutoras, DESAF e INEC .</a:t>
          </a:r>
          <a:endParaRPr lang="es-CR" sz="900" b="1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4"/>
  <sheetViews>
    <sheetView topLeftCell="A79" zoomScale="90" zoomScaleNormal="90" workbookViewId="0">
      <selection activeCell="D159" sqref="D159:H161"/>
    </sheetView>
  </sheetViews>
  <sheetFormatPr baseColWidth="10" defaultRowHeight="15" x14ac:dyDescent="0.25"/>
  <cols>
    <col min="1" max="1" width="55.7109375" style="15" bestFit="1" customWidth="1"/>
    <col min="2" max="2" width="16.5703125" style="15" customWidth="1"/>
    <col min="3" max="3" width="20.42578125" style="15" bestFit="1" customWidth="1"/>
    <col min="4" max="4" width="17.5703125" style="15" bestFit="1" customWidth="1"/>
    <col min="5" max="5" width="15.28515625" style="15" customWidth="1"/>
    <col min="6" max="6" width="17" style="15" customWidth="1"/>
    <col min="7" max="7" width="16" style="15" bestFit="1" customWidth="1"/>
    <col min="8" max="8" width="14.28515625" style="15" bestFit="1" customWidth="1"/>
    <col min="9" max="16384" width="11.42578125" style="15"/>
  </cols>
  <sheetData>
    <row r="2" spans="1:8" ht="15.75" x14ac:dyDescent="0.25">
      <c r="A2" s="51" t="s">
        <v>108</v>
      </c>
      <c r="B2" s="51"/>
      <c r="C2" s="51"/>
      <c r="D2" s="51"/>
      <c r="E2" s="51"/>
      <c r="F2" s="51"/>
      <c r="G2" s="51"/>
    </row>
    <row r="4" spans="1:8" x14ac:dyDescent="0.25">
      <c r="A4" s="49" t="s">
        <v>0</v>
      </c>
      <c r="B4" s="30" t="s">
        <v>131</v>
      </c>
      <c r="C4" s="52" t="s">
        <v>2</v>
      </c>
      <c r="D4" s="52"/>
      <c r="E4" s="52"/>
      <c r="F4" s="52"/>
      <c r="G4" s="52"/>
      <c r="H4" s="52"/>
    </row>
    <row r="5" spans="1:8" ht="36" customHeight="1" thickBot="1" x14ac:dyDescent="0.3">
      <c r="A5" s="50"/>
      <c r="B5" s="31" t="s">
        <v>132</v>
      </c>
      <c r="C5" s="32" t="s">
        <v>99</v>
      </c>
      <c r="D5" s="33" t="s">
        <v>3</v>
      </c>
      <c r="E5" s="33" t="s">
        <v>4</v>
      </c>
      <c r="F5" s="46" t="s">
        <v>46</v>
      </c>
      <c r="G5" s="46" t="s">
        <v>45</v>
      </c>
      <c r="H5" s="46" t="s">
        <v>47</v>
      </c>
    </row>
    <row r="6" spans="1:8" ht="15.75" thickTop="1" x14ac:dyDescent="0.25"/>
    <row r="7" spans="1:8" x14ac:dyDescent="0.25">
      <c r="A7" s="35" t="s">
        <v>5</v>
      </c>
    </row>
    <row r="9" spans="1:8" x14ac:dyDescent="0.25">
      <c r="A9" s="15" t="s">
        <v>6</v>
      </c>
    </row>
    <row r="10" spans="1:8" x14ac:dyDescent="0.25">
      <c r="A10" s="36" t="s">
        <v>48</v>
      </c>
      <c r="B10" s="37">
        <f>SUM(C10:H10)</f>
        <v>84950.333333333328</v>
      </c>
      <c r="C10" s="37">
        <f>230991/3</f>
        <v>76997</v>
      </c>
      <c r="D10" s="37">
        <f>15000/3</f>
        <v>5000</v>
      </c>
      <c r="E10" s="37">
        <f>4080/3</f>
        <v>1360</v>
      </c>
      <c r="F10" s="37">
        <f>3319/3</f>
        <v>1106.3333333333333</v>
      </c>
      <c r="G10" s="37">
        <f>1461/3</f>
        <v>487</v>
      </c>
      <c r="H10" s="37">
        <v>0</v>
      </c>
    </row>
    <row r="11" spans="1:8" x14ac:dyDescent="0.25">
      <c r="A11" s="36" t="s">
        <v>49</v>
      </c>
      <c r="B11" s="37">
        <f>SUM(C11:H11)</f>
        <v>87136</v>
      </c>
      <c r="C11" s="37">
        <f>1827+75209</f>
        <v>77036</v>
      </c>
      <c r="D11" s="37">
        <v>5000</v>
      </c>
      <c r="E11" s="37">
        <v>2300</v>
      </c>
      <c r="F11" s="37">
        <v>2100</v>
      </c>
      <c r="G11" s="37">
        <v>700</v>
      </c>
      <c r="H11" s="37">
        <v>0</v>
      </c>
    </row>
    <row r="12" spans="1:8" x14ac:dyDescent="0.25">
      <c r="A12" s="36" t="s">
        <v>50</v>
      </c>
      <c r="B12" s="37">
        <f>SUM(C12:H12)</f>
        <v>49677.666666666664</v>
      </c>
      <c r="C12" s="37">
        <f>131625/3</f>
        <v>43875</v>
      </c>
      <c r="D12" s="37">
        <f>12113/3</f>
        <v>4037.6666666666665</v>
      </c>
      <c r="E12" s="37">
        <f>4016/3</f>
        <v>1338.6666666666667</v>
      </c>
      <c r="F12" s="37">
        <v>0</v>
      </c>
      <c r="G12" s="37">
        <f>1279/3</f>
        <v>426.33333333333331</v>
      </c>
      <c r="H12" s="37">
        <v>0</v>
      </c>
    </row>
    <row r="13" spans="1:8" x14ac:dyDescent="0.25">
      <c r="A13" s="36" t="s">
        <v>10</v>
      </c>
      <c r="B13" s="37">
        <f>SUM(C13:H13)</f>
        <v>87135.916666666672</v>
      </c>
      <c r="C13" s="37">
        <f>1827+75209</f>
        <v>77036</v>
      </c>
      <c r="D13" s="37">
        <f>59999/12</f>
        <v>4999.916666666667</v>
      </c>
      <c r="E13" s="37">
        <f>27600/12</f>
        <v>2300</v>
      </c>
      <c r="F13" s="37">
        <f>25200/12</f>
        <v>2100</v>
      </c>
      <c r="G13" s="37">
        <f>8400/12</f>
        <v>700</v>
      </c>
      <c r="H13" s="37">
        <v>0</v>
      </c>
    </row>
    <row r="15" spans="1:8" x14ac:dyDescent="0.25">
      <c r="A15" s="38" t="s">
        <v>11</v>
      </c>
    </row>
    <row r="16" spans="1:8" x14ac:dyDescent="0.25">
      <c r="A16" s="36" t="s">
        <v>48</v>
      </c>
      <c r="B16" s="15">
        <f>SUM(C16:H16)</f>
        <v>3232357183</v>
      </c>
      <c r="C16" s="39">
        <f>2540901000</f>
        <v>2540901000</v>
      </c>
      <c r="D16" s="15">
        <v>255000000</v>
      </c>
      <c r="E16" s="15">
        <v>163200000</v>
      </c>
      <c r="F16" s="15">
        <v>185596183</v>
      </c>
      <c r="G16" s="15">
        <v>87660000</v>
      </c>
      <c r="H16" s="15">
        <v>0</v>
      </c>
    </row>
    <row r="17" spans="1:8" x14ac:dyDescent="0.25">
      <c r="A17" s="36" t="s">
        <v>49</v>
      </c>
      <c r="B17" s="15">
        <f>SUM(C17:H17)</f>
        <v>3608688000</v>
      </c>
      <c r="C17" s="39">
        <f>60291000+2481897000</f>
        <v>2542188000</v>
      </c>
      <c r="D17" s="15">
        <v>255000000</v>
      </c>
      <c r="E17" s="15">
        <v>276000000</v>
      </c>
      <c r="F17" s="15">
        <v>409500000</v>
      </c>
      <c r="G17" s="15">
        <v>126000000</v>
      </c>
      <c r="H17" s="15">
        <v>0</v>
      </c>
    </row>
    <row r="18" spans="1:8" x14ac:dyDescent="0.25">
      <c r="A18" s="36" t="s">
        <v>50</v>
      </c>
      <c r="B18" s="15">
        <f>SUM(C18:H18)</f>
        <v>1891176000</v>
      </c>
      <c r="C18" s="39">
        <v>1447875000</v>
      </c>
      <c r="D18" s="15">
        <v>205921000</v>
      </c>
      <c r="E18" s="15">
        <v>160640000</v>
      </c>
      <c r="F18" s="15">
        <v>0</v>
      </c>
      <c r="G18" s="15">
        <v>76740000</v>
      </c>
      <c r="H18" s="15">
        <v>0</v>
      </c>
    </row>
    <row r="19" spans="1:8" x14ac:dyDescent="0.25">
      <c r="A19" s="36" t="s">
        <v>10</v>
      </c>
      <c r="B19" s="15">
        <f>SUM(C19:H19)</f>
        <v>14434752000</v>
      </c>
      <c r="C19" s="39">
        <f>241164000+9927588000</f>
        <v>10168752000</v>
      </c>
      <c r="D19" s="15">
        <v>1020000000</v>
      </c>
      <c r="E19" s="15">
        <v>1104000000</v>
      </c>
      <c r="F19" s="15">
        <v>1638000000</v>
      </c>
      <c r="G19" s="15">
        <v>504000000</v>
      </c>
      <c r="H19" s="15">
        <v>0</v>
      </c>
    </row>
    <row r="20" spans="1:8" x14ac:dyDescent="0.25">
      <c r="A20" s="36" t="s">
        <v>51</v>
      </c>
      <c r="B20" s="15">
        <f>SUM(C20:H20)</f>
        <v>1891176000</v>
      </c>
      <c r="C20" s="39">
        <f>C18</f>
        <v>1447875000</v>
      </c>
      <c r="D20" s="15">
        <f>D18</f>
        <v>205921000</v>
      </c>
      <c r="E20" s="15">
        <f t="shared" ref="E20:H20" si="0">E18</f>
        <v>160640000</v>
      </c>
      <c r="F20" s="15">
        <f t="shared" si="0"/>
        <v>0</v>
      </c>
      <c r="G20" s="15">
        <f t="shared" si="0"/>
        <v>76740000</v>
      </c>
      <c r="H20" s="15">
        <f t="shared" si="0"/>
        <v>0</v>
      </c>
    </row>
    <row r="22" spans="1:8" x14ac:dyDescent="0.25">
      <c r="A22" s="38" t="s">
        <v>13</v>
      </c>
    </row>
    <row r="23" spans="1:8" x14ac:dyDescent="0.25">
      <c r="A23" s="36" t="s">
        <v>49</v>
      </c>
      <c r="B23" s="15">
        <f>B17</f>
        <v>3608688000</v>
      </c>
    </row>
    <row r="24" spans="1:8" x14ac:dyDescent="0.25">
      <c r="A24" s="36" t="s">
        <v>50</v>
      </c>
      <c r="B24" s="15">
        <v>2602576091.4099998</v>
      </c>
    </row>
    <row r="26" spans="1:8" x14ac:dyDescent="0.25">
      <c r="A26" s="15" t="s">
        <v>14</v>
      </c>
    </row>
    <row r="27" spans="1:8" x14ac:dyDescent="0.25">
      <c r="A27" s="15" t="s">
        <v>52</v>
      </c>
      <c r="B27" s="47">
        <v>1.38</v>
      </c>
      <c r="C27" s="48">
        <v>1.38</v>
      </c>
      <c r="D27" s="47">
        <v>1.38</v>
      </c>
      <c r="E27" s="47">
        <v>1.38</v>
      </c>
      <c r="F27" s="47">
        <v>1.38</v>
      </c>
      <c r="G27" s="47">
        <v>1.38</v>
      </c>
      <c r="H27" s="47">
        <v>1.38</v>
      </c>
    </row>
    <row r="28" spans="1:8" x14ac:dyDescent="0.25">
      <c r="A28" s="15" t="s">
        <v>53</v>
      </c>
      <c r="B28" s="47">
        <v>1.45</v>
      </c>
      <c r="C28" s="48">
        <v>1.45</v>
      </c>
      <c r="D28" s="47">
        <v>1.45</v>
      </c>
      <c r="E28" s="47">
        <v>1.45</v>
      </c>
      <c r="F28" s="47">
        <v>1.45</v>
      </c>
      <c r="G28" s="47">
        <v>1.45</v>
      </c>
      <c r="H28" s="47">
        <v>1.45</v>
      </c>
    </row>
    <row r="29" spans="1:8" x14ac:dyDescent="0.25">
      <c r="A29" s="36" t="s">
        <v>17</v>
      </c>
      <c r="B29" s="40">
        <f>SUM(C29:F29)</f>
        <v>259781</v>
      </c>
      <c r="C29" s="39">
        <v>223258</v>
      </c>
      <c r="D29" s="37">
        <v>8954</v>
      </c>
      <c r="E29" s="15">
        <v>8954</v>
      </c>
      <c r="F29" s="37">
        <v>18615</v>
      </c>
      <c r="G29" s="37" t="s">
        <v>115</v>
      </c>
      <c r="H29" s="15" t="s">
        <v>115</v>
      </c>
    </row>
    <row r="31" spans="1:8" x14ac:dyDescent="0.25">
      <c r="A31" s="15" t="s">
        <v>18</v>
      </c>
    </row>
    <row r="32" spans="1:8" x14ac:dyDescent="0.25">
      <c r="A32" s="15" t="s">
        <v>54</v>
      </c>
      <c r="B32" s="15">
        <f t="shared" ref="B32:F32" si="1">B16/B27</f>
        <v>2342287813.768116</v>
      </c>
      <c r="C32" s="39">
        <f t="shared" si="1"/>
        <v>1841232608.6956522</v>
      </c>
      <c r="D32" s="15">
        <f t="shared" si="1"/>
        <v>184782608.69565219</v>
      </c>
      <c r="E32" s="15">
        <f t="shared" si="1"/>
        <v>118260869.56521741</v>
      </c>
      <c r="F32" s="15">
        <f t="shared" si="1"/>
        <v>134489987.68115944</v>
      </c>
      <c r="G32" s="15">
        <f>G16/G27</f>
        <v>63521739.130434789</v>
      </c>
      <c r="H32" s="15">
        <f>H16/H27</f>
        <v>0</v>
      </c>
    </row>
    <row r="33" spans="1:8" x14ac:dyDescent="0.25">
      <c r="A33" s="15" t="s">
        <v>55</v>
      </c>
      <c r="B33" s="15">
        <f t="shared" ref="B33:F33" si="2">B18/B28</f>
        <v>1304259310.3448277</v>
      </c>
      <c r="C33" s="39">
        <f t="shared" si="2"/>
        <v>998534482.75862074</v>
      </c>
      <c r="D33" s="15">
        <f t="shared" si="2"/>
        <v>142014482.75862068</v>
      </c>
      <c r="E33" s="15">
        <f t="shared" si="2"/>
        <v>110786206.89655173</v>
      </c>
      <c r="F33" s="15">
        <f t="shared" si="2"/>
        <v>0</v>
      </c>
      <c r="G33" s="15">
        <f>G18/G28</f>
        <v>52924137.931034483</v>
      </c>
      <c r="H33" s="15">
        <f>H18/H28</f>
        <v>0</v>
      </c>
    </row>
    <row r="34" spans="1:8" x14ac:dyDescent="0.25">
      <c r="A34" s="15" t="s">
        <v>56</v>
      </c>
      <c r="B34" s="15">
        <f t="shared" ref="B34:H34" si="3">B32/B10</f>
        <v>27572.438174872175</v>
      </c>
      <c r="C34" s="39">
        <f t="shared" si="3"/>
        <v>23913.043478260872</v>
      </c>
      <c r="D34" s="15">
        <f t="shared" si="3"/>
        <v>36956.52173913044</v>
      </c>
      <c r="E34" s="15">
        <f t="shared" si="3"/>
        <v>86956.521739130447</v>
      </c>
      <c r="F34" s="15">
        <f t="shared" si="3"/>
        <v>121563.71287842072</v>
      </c>
      <c r="G34" s="15">
        <f t="shared" si="3"/>
        <v>130434.78260869566</v>
      </c>
      <c r="H34" s="15" t="e">
        <f t="shared" si="3"/>
        <v>#DIV/0!</v>
      </c>
    </row>
    <row r="35" spans="1:8" x14ac:dyDescent="0.25">
      <c r="A35" s="15" t="s">
        <v>57</v>
      </c>
      <c r="B35" s="15">
        <f>B33/B12</f>
        <v>26254.439828994138</v>
      </c>
      <c r="C35" s="39">
        <f>C33/C12</f>
        <v>22758.620689655174</v>
      </c>
      <c r="D35" s="15">
        <f>D33/D12</f>
        <v>35172.413793103449</v>
      </c>
      <c r="E35" s="15">
        <f>E33/E12</f>
        <v>82758.620689655174</v>
      </c>
      <c r="F35" s="15" t="e">
        <f t="shared" ref="F35:H35" si="4">F33/F12</f>
        <v>#DIV/0!</v>
      </c>
      <c r="G35" s="15">
        <f t="shared" si="4"/>
        <v>124137.93103448277</v>
      </c>
      <c r="H35" s="15" t="e">
        <f t="shared" si="4"/>
        <v>#DIV/0!</v>
      </c>
    </row>
    <row r="37" spans="1:8" x14ac:dyDescent="0.25">
      <c r="A37" s="35" t="s">
        <v>23</v>
      </c>
    </row>
    <row r="39" spans="1:8" x14ac:dyDescent="0.25">
      <c r="A39" s="15" t="s">
        <v>24</v>
      </c>
    </row>
    <row r="40" spans="1:8" x14ac:dyDescent="0.25">
      <c r="A40" s="15" t="s">
        <v>25</v>
      </c>
      <c r="B40" s="39">
        <f>(B11/B29)*100</f>
        <v>33.542098921784117</v>
      </c>
      <c r="C40" s="39">
        <f>(C11/C29)*100</f>
        <v>34.505370468247499</v>
      </c>
      <c r="D40" s="39">
        <f t="shared" ref="D40:H40" si="5">(D11/D29)*100</f>
        <v>55.840964931874026</v>
      </c>
      <c r="E40" s="39">
        <f t="shared" si="5"/>
        <v>25.686843868662052</v>
      </c>
      <c r="F40" s="39">
        <f t="shared" si="5"/>
        <v>11.281224818694602</v>
      </c>
      <c r="G40" s="39" t="e">
        <f t="shared" si="5"/>
        <v>#VALUE!</v>
      </c>
      <c r="H40" s="39" t="e">
        <f t="shared" si="5"/>
        <v>#VALUE!</v>
      </c>
    </row>
    <row r="41" spans="1:8" x14ac:dyDescent="0.25">
      <c r="A41" s="15" t="s">
        <v>26</v>
      </c>
      <c r="B41" s="39">
        <f>(B12/B29)*100</f>
        <v>19.122902239450408</v>
      </c>
      <c r="C41" s="39">
        <f>(C12/C29)*100</f>
        <v>19.652151322684965</v>
      </c>
      <c r="D41" s="39">
        <f t="shared" ref="D41:H41" si="6">(D12/D29)*100</f>
        <v>45.093440547985999</v>
      </c>
      <c r="E41" s="39">
        <f t="shared" si="6"/>
        <v>14.950487677760405</v>
      </c>
      <c r="F41" s="39">
        <f t="shared" si="6"/>
        <v>0</v>
      </c>
      <c r="G41" s="39" t="e">
        <f t="shared" si="6"/>
        <v>#VALUE!</v>
      </c>
      <c r="H41" s="39" t="e">
        <f t="shared" si="6"/>
        <v>#VALUE!</v>
      </c>
    </row>
    <row r="43" spans="1:8" x14ac:dyDescent="0.25">
      <c r="A43" s="15" t="s">
        <v>27</v>
      </c>
    </row>
    <row r="44" spans="1:8" x14ac:dyDescent="0.25">
      <c r="A44" s="15" t="s">
        <v>28</v>
      </c>
      <c r="B44" s="15">
        <f t="shared" ref="B44:H44" si="7">B12/B11*100</f>
        <v>57.011644632145916</v>
      </c>
      <c r="C44" s="39">
        <f t="shared" si="7"/>
        <v>56.953891687003477</v>
      </c>
      <c r="D44" s="15">
        <f t="shared" si="7"/>
        <v>80.75333333333333</v>
      </c>
      <c r="E44" s="15">
        <f t="shared" si="7"/>
        <v>58.202898550724633</v>
      </c>
      <c r="F44" s="15">
        <f t="shared" si="7"/>
        <v>0</v>
      </c>
      <c r="G44" s="15">
        <f t="shared" si="7"/>
        <v>60.904761904761905</v>
      </c>
      <c r="H44" s="15" t="e">
        <f t="shared" si="7"/>
        <v>#DIV/0!</v>
      </c>
    </row>
    <row r="45" spans="1:8" x14ac:dyDescent="0.25">
      <c r="A45" s="15" t="s">
        <v>29</v>
      </c>
      <c r="B45" s="15">
        <f t="shared" ref="B45:F45" si="8">B18/B17*100</f>
        <v>52.406193054096114</v>
      </c>
      <c r="C45" s="39">
        <f t="shared" si="8"/>
        <v>56.953891687003477</v>
      </c>
      <c r="D45" s="15">
        <f t="shared" si="8"/>
        <v>80.75333333333333</v>
      </c>
      <c r="E45" s="15">
        <f t="shared" si="8"/>
        <v>58.202898550724633</v>
      </c>
      <c r="F45" s="15">
        <f t="shared" si="8"/>
        <v>0</v>
      </c>
      <c r="G45" s="15">
        <f>G18/G17*100</f>
        <v>60.904761904761905</v>
      </c>
      <c r="H45" s="15" t="e">
        <f>H18/H17*100</f>
        <v>#DIV/0!</v>
      </c>
    </row>
    <row r="46" spans="1:8" x14ac:dyDescent="0.25">
      <c r="A46" s="15" t="s">
        <v>30</v>
      </c>
      <c r="B46" s="15">
        <f t="shared" ref="B46:F46" si="9">AVERAGE(B44:B45)</f>
        <v>54.708918843121012</v>
      </c>
      <c r="C46" s="39">
        <f t="shared" si="9"/>
        <v>56.953891687003477</v>
      </c>
      <c r="D46" s="15">
        <f t="shared" si="9"/>
        <v>80.75333333333333</v>
      </c>
      <c r="E46" s="15">
        <f t="shared" si="9"/>
        <v>58.202898550724633</v>
      </c>
      <c r="F46" s="15">
        <f t="shared" si="9"/>
        <v>0</v>
      </c>
      <c r="G46" s="15">
        <f>AVERAGE(G44:G45)</f>
        <v>60.904761904761905</v>
      </c>
      <c r="H46" s="15" t="e">
        <f>AVERAGE(H44:H45)</f>
        <v>#DIV/0!</v>
      </c>
    </row>
    <row r="48" spans="1:8" x14ac:dyDescent="0.25">
      <c r="A48" s="15" t="s">
        <v>31</v>
      </c>
    </row>
    <row r="49" spans="1:8" x14ac:dyDescent="0.25">
      <c r="A49" s="15" t="s">
        <v>32</v>
      </c>
      <c r="B49" s="15">
        <f t="shared" ref="B49:H49" si="10">B12/B13*100</f>
        <v>57.011699155820736</v>
      </c>
      <c r="C49" s="39">
        <f t="shared" si="10"/>
        <v>56.953891687003477</v>
      </c>
      <c r="D49" s="15">
        <f t="shared" si="10"/>
        <v>80.754679244654071</v>
      </c>
      <c r="E49" s="15">
        <f t="shared" si="10"/>
        <v>58.202898550724633</v>
      </c>
      <c r="F49" s="15">
        <f t="shared" si="10"/>
        <v>0</v>
      </c>
      <c r="G49" s="15">
        <f t="shared" si="10"/>
        <v>60.904761904761905</v>
      </c>
      <c r="H49" s="15" t="e">
        <f t="shared" si="10"/>
        <v>#DIV/0!</v>
      </c>
    </row>
    <row r="50" spans="1:8" x14ac:dyDescent="0.25">
      <c r="A50" s="15" t="s">
        <v>33</v>
      </c>
      <c r="B50" s="15">
        <f t="shared" ref="B50:F50" si="11">B18/B19*100</f>
        <v>13.101548263524029</v>
      </c>
      <c r="C50" s="39">
        <f t="shared" si="11"/>
        <v>14.238472921750869</v>
      </c>
      <c r="D50" s="15">
        <f t="shared" si="11"/>
        <v>20.188333333333333</v>
      </c>
      <c r="E50" s="15">
        <f t="shared" si="11"/>
        <v>14.550724637681158</v>
      </c>
      <c r="F50" s="15">
        <f t="shared" si="11"/>
        <v>0</v>
      </c>
      <c r="G50" s="15">
        <f>G18/G19*100</f>
        <v>15.226190476190476</v>
      </c>
      <c r="H50" s="15" t="e">
        <f>H18/H19*100</f>
        <v>#DIV/0!</v>
      </c>
    </row>
    <row r="51" spans="1:8" x14ac:dyDescent="0.25">
      <c r="A51" s="15" t="s">
        <v>34</v>
      </c>
      <c r="B51" s="15">
        <f t="shared" ref="B51:F51" si="12">(B49+B50)/2</f>
        <v>35.05662370967238</v>
      </c>
      <c r="C51" s="39">
        <f t="shared" si="12"/>
        <v>35.596182304377173</v>
      </c>
      <c r="D51" s="15">
        <f t="shared" si="12"/>
        <v>50.471506288993702</v>
      </c>
      <c r="E51" s="15">
        <f t="shared" si="12"/>
        <v>36.376811594202898</v>
      </c>
      <c r="F51" s="15">
        <f t="shared" si="12"/>
        <v>0</v>
      </c>
      <c r="G51" s="15">
        <f>(G49+G50)/2</f>
        <v>38.06547619047619</v>
      </c>
      <c r="H51" s="15" t="e">
        <f>(H49+H50)/2</f>
        <v>#DIV/0!</v>
      </c>
    </row>
    <row r="53" spans="1:8" x14ac:dyDescent="0.25">
      <c r="A53" s="15" t="s">
        <v>35</v>
      </c>
      <c r="B53" s="15">
        <f>B20/B18*100</f>
        <v>100</v>
      </c>
      <c r="C53" s="39">
        <f>C20/C18*100</f>
        <v>100</v>
      </c>
      <c r="D53" s="15">
        <f>D20/D18*100</f>
        <v>100</v>
      </c>
      <c r="E53" s="15">
        <f>E20/E18*100</f>
        <v>100</v>
      </c>
      <c r="F53" s="15" t="e">
        <f t="shared" ref="F53:H53" si="13">F20/F18*100</f>
        <v>#DIV/0!</v>
      </c>
      <c r="G53" s="15">
        <f t="shared" si="13"/>
        <v>100</v>
      </c>
      <c r="H53" s="15" t="e">
        <f t="shared" si="13"/>
        <v>#DIV/0!</v>
      </c>
    </row>
    <row r="55" spans="1:8" x14ac:dyDescent="0.25">
      <c r="A55" s="15" t="s">
        <v>36</v>
      </c>
    </row>
    <row r="56" spans="1:8" x14ac:dyDescent="0.25">
      <c r="A56" s="15" t="s">
        <v>37</v>
      </c>
      <c r="B56" s="15">
        <f t="shared" ref="B56:H56" si="14">((B12/B10)-1)*100</f>
        <v>-41.521516493951374</v>
      </c>
      <c r="C56" s="39">
        <f t="shared" si="14"/>
        <v>-43.017260412743354</v>
      </c>
      <c r="D56" s="15">
        <f t="shared" si="14"/>
        <v>-19.246666666666666</v>
      </c>
      <c r="E56" s="15">
        <f t="shared" si="14"/>
        <v>-1.5686274509803866</v>
      </c>
      <c r="F56" s="15">
        <f t="shared" si="14"/>
        <v>-100</v>
      </c>
      <c r="G56" s="15">
        <f t="shared" si="14"/>
        <v>-12.457221081451063</v>
      </c>
      <c r="H56" s="15" t="e">
        <f t="shared" si="14"/>
        <v>#DIV/0!</v>
      </c>
    </row>
    <row r="57" spans="1:8" x14ac:dyDescent="0.25">
      <c r="A57" s="15" t="s">
        <v>38</v>
      </c>
      <c r="B57" s="15">
        <f t="shared" ref="B57:H57" si="15">((B33/B32)-1)*100</f>
        <v>-44.316863936263132</v>
      </c>
      <c r="C57" s="39">
        <f t="shared" si="15"/>
        <v>-45.768151289369541</v>
      </c>
      <c r="D57" s="15">
        <f t="shared" si="15"/>
        <v>-23.145103448275872</v>
      </c>
      <c r="E57" s="15">
        <f t="shared" si="15"/>
        <v>-6.3204868154158262</v>
      </c>
      <c r="F57" s="15">
        <f t="shared" si="15"/>
        <v>-100</v>
      </c>
      <c r="G57" s="15">
        <f t="shared" si="15"/>
        <v>-16.683424201656884</v>
      </c>
      <c r="H57" s="15" t="e">
        <f t="shared" si="15"/>
        <v>#DIV/0!</v>
      </c>
    </row>
    <row r="58" spans="1:8" x14ac:dyDescent="0.25">
      <c r="A58" s="15" t="s">
        <v>39</v>
      </c>
      <c r="B58" s="15">
        <f t="shared" ref="B58:F58" si="16">((B35/B34)-1)*100</f>
        <v>-4.7801298438640778</v>
      </c>
      <c r="C58" s="39">
        <f t="shared" si="16"/>
        <v>-4.8275862068965498</v>
      </c>
      <c r="D58" s="15">
        <f t="shared" si="16"/>
        <v>-4.8275862068965614</v>
      </c>
      <c r="E58" s="15">
        <f t="shared" si="16"/>
        <v>-4.8275862068965614</v>
      </c>
      <c r="F58" s="15" t="e">
        <f t="shared" si="16"/>
        <v>#DIV/0!</v>
      </c>
      <c r="G58" s="15">
        <f>((G35/G34)-1)*100</f>
        <v>-4.8275862068965498</v>
      </c>
      <c r="H58" s="15" t="e">
        <f>((H35/H34)-1)*100</f>
        <v>#DIV/0!</v>
      </c>
    </row>
    <row r="60" spans="1:8" x14ac:dyDescent="0.25">
      <c r="A60" s="15" t="s">
        <v>40</v>
      </c>
    </row>
    <row r="61" spans="1:8" x14ac:dyDescent="0.25">
      <c r="A61" s="15" t="s">
        <v>106</v>
      </c>
      <c r="B61" s="15">
        <f>B17/(B11*3)</f>
        <v>13804.81087036357</v>
      </c>
      <c r="C61" s="39">
        <f>C17/(C11*3)</f>
        <v>11000</v>
      </c>
      <c r="D61" s="15">
        <f>D17/(D11*3)</f>
        <v>17000</v>
      </c>
      <c r="E61" s="15">
        <f t="shared" ref="E61:H61" si="17">E17/(E11*3)</f>
        <v>40000</v>
      </c>
      <c r="F61" s="15">
        <f t="shared" si="17"/>
        <v>65000</v>
      </c>
      <c r="G61" s="15">
        <f t="shared" si="17"/>
        <v>60000</v>
      </c>
      <c r="H61" s="15" t="e">
        <f t="shared" si="17"/>
        <v>#DIV/0!</v>
      </c>
    </row>
    <row r="62" spans="1:8" x14ac:dyDescent="0.25">
      <c r="A62" s="15" t="s">
        <v>107</v>
      </c>
      <c r="B62" s="15">
        <f>B18/(B12*3)</f>
        <v>12689.645917347165</v>
      </c>
      <c r="C62" s="39">
        <f t="shared" ref="C62:H62" si="18">C18/(C12*3)</f>
        <v>11000</v>
      </c>
      <c r="D62" s="15">
        <f t="shared" si="18"/>
        <v>17000</v>
      </c>
      <c r="E62" s="15">
        <f t="shared" si="18"/>
        <v>40000</v>
      </c>
      <c r="F62" s="15" t="e">
        <f t="shared" si="18"/>
        <v>#DIV/0!</v>
      </c>
      <c r="G62" s="15">
        <f t="shared" si="18"/>
        <v>60000</v>
      </c>
      <c r="H62" s="15" t="e">
        <f t="shared" si="18"/>
        <v>#DIV/0!</v>
      </c>
    </row>
    <row r="63" spans="1:8" x14ac:dyDescent="0.25">
      <c r="A63" s="15" t="s">
        <v>41</v>
      </c>
      <c r="B63" s="15">
        <f t="shared" ref="B63:H63" si="19">(B61/B62)*B46</f>
        <v>59.516733758418646</v>
      </c>
      <c r="C63" s="39">
        <f t="shared" si="19"/>
        <v>56.953891687003477</v>
      </c>
      <c r="D63" s="15">
        <f t="shared" si="19"/>
        <v>80.75333333333333</v>
      </c>
      <c r="E63" s="15">
        <f t="shared" si="19"/>
        <v>58.202898550724633</v>
      </c>
      <c r="F63" s="15" t="e">
        <f t="shared" si="19"/>
        <v>#DIV/0!</v>
      </c>
      <c r="G63" s="15">
        <f t="shared" si="19"/>
        <v>60.904761904761905</v>
      </c>
      <c r="H63" s="15" t="e">
        <f t="shared" si="19"/>
        <v>#DIV/0!</v>
      </c>
    </row>
    <row r="64" spans="1:8" x14ac:dyDescent="0.25">
      <c r="A64" s="15" t="s">
        <v>123</v>
      </c>
      <c r="B64" s="15">
        <f>B17/B11</f>
        <v>41414.432611090706</v>
      </c>
      <c r="C64" s="15">
        <f t="shared" ref="C64:H64" si="20">C17/C11</f>
        <v>33000</v>
      </c>
      <c r="D64" s="15">
        <f t="shared" si="20"/>
        <v>51000</v>
      </c>
      <c r="E64" s="15">
        <f t="shared" si="20"/>
        <v>120000</v>
      </c>
      <c r="F64" s="15">
        <f t="shared" si="20"/>
        <v>195000</v>
      </c>
      <c r="G64" s="15">
        <f t="shared" si="20"/>
        <v>180000</v>
      </c>
      <c r="H64" s="15" t="e">
        <f t="shared" si="20"/>
        <v>#DIV/0!</v>
      </c>
    </row>
    <row r="65" spans="1:8" x14ac:dyDescent="0.25">
      <c r="A65" s="15" t="s">
        <v>124</v>
      </c>
      <c r="B65" s="15">
        <f>B18/B12</f>
        <v>38068.937752041493</v>
      </c>
      <c r="C65" s="15">
        <f t="shared" ref="C65:H65" si="21">C18/C12</f>
        <v>33000</v>
      </c>
      <c r="D65" s="15">
        <f t="shared" si="21"/>
        <v>51000</v>
      </c>
      <c r="E65" s="15">
        <f t="shared" si="21"/>
        <v>120000</v>
      </c>
      <c r="F65" s="15" t="e">
        <f t="shared" si="21"/>
        <v>#DIV/0!</v>
      </c>
      <c r="G65" s="15">
        <f t="shared" si="21"/>
        <v>180000</v>
      </c>
      <c r="H65" s="15" t="e">
        <f t="shared" si="21"/>
        <v>#DIV/0!</v>
      </c>
    </row>
    <row r="67" spans="1:8" x14ac:dyDescent="0.25">
      <c r="A67" s="15" t="s">
        <v>42</v>
      </c>
    </row>
    <row r="68" spans="1:8" x14ac:dyDescent="0.25">
      <c r="A68" s="15" t="s">
        <v>43</v>
      </c>
      <c r="B68" s="15">
        <f>(B24/B23)*100</f>
        <v>72.119731365249635</v>
      </c>
    </row>
    <row r="69" spans="1:8" x14ac:dyDescent="0.25">
      <c r="A69" s="15" t="s">
        <v>44</v>
      </c>
      <c r="B69" s="15">
        <f>(B18/B24)*100</f>
        <v>72.665541124502369</v>
      </c>
    </row>
    <row r="70" spans="1:8" ht="15.75" thickBot="1" x14ac:dyDescent="0.3">
      <c r="A70" s="41"/>
      <c r="B70" s="41"/>
      <c r="C70" s="41"/>
      <c r="D70" s="41"/>
      <c r="E70" s="41"/>
      <c r="F70" s="41"/>
      <c r="G70" s="41"/>
      <c r="H70" s="41"/>
    </row>
    <row r="71" spans="1:8" ht="15.75" thickTop="1" x14ac:dyDescent="0.25"/>
    <row r="72" spans="1:8" x14ac:dyDescent="0.25">
      <c r="A72" s="42" t="s">
        <v>101</v>
      </c>
    </row>
    <row r="73" spans="1:8" x14ac:dyDescent="0.25">
      <c r="A73" s="43" t="s">
        <v>105</v>
      </c>
    </row>
    <row r="74" spans="1:8" x14ac:dyDescent="0.25">
      <c r="A74" s="15" t="s">
        <v>102</v>
      </c>
    </row>
    <row r="75" spans="1:8" x14ac:dyDescent="0.25">
      <c r="A75" s="15" t="s">
        <v>103</v>
      </c>
    </row>
    <row r="76" spans="1:8" x14ac:dyDescent="0.25">
      <c r="A76" s="15" t="s">
        <v>104</v>
      </c>
    </row>
    <row r="78" spans="1:8" x14ac:dyDescent="0.25">
      <c r="A78" s="35" t="s">
        <v>116</v>
      </c>
    </row>
    <row r="79" spans="1:8" x14ac:dyDescent="0.25">
      <c r="A79" s="15" t="s">
        <v>117</v>
      </c>
    </row>
    <row r="80" spans="1:8" x14ac:dyDescent="0.25">
      <c r="A80" s="44" t="s">
        <v>118</v>
      </c>
    </row>
    <row r="81" spans="1:1" x14ac:dyDescent="0.25">
      <c r="A81" s="44" t="s">
        <v>119</v>
      </c>
    </row>
    <row r="82" spans="1:1" x14ac:dyDescent="0.25">
      <c r="A82" s="44" t="s">
        <v>120</v>
      </c>
    </row>
    <row r="83" spans="1:1" x14ac:dyDescent="0.25">
      <c r="A83" s="44" t="s">
        <v>121</v>
      </c>
    </row>
    <row r="84" spans="1:1" x14ac:dyDescent="0.25">
      <c r="A84" s="44" t="s">
        <v>122</v>
      </c>
    </row>
  </sheetData>
  <mergeCells count="3">
    <mergeCell ref="A4:A5"/>
    <mergeCell ref="A2:G2"/>
    <mergeCell ref="C4:H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4"/>
  <sheetViews>
    <sheetView zoomScale="90" zoomScaleNormal="90" workbookViewId="0">
      <selection activeCell="H11" sqref="H11"/>
    </sheetView>
  </sheetViews>
  <sheetFormatPr baseColWidth="10" defaultRowHeight="15" x14ac:dyDescent="0.25"/>
  <cols>
    <col min="1" max="1" width="46.5703125" style="6" customWidth="1"/>
    <col min="2" max="2" width="16.5703125" style="6" customWidth="1"/>
    <col min="3" max="3" width="20.28515625" style="6" bestFit="1" customWidth="1"/>
    <col min="4" max="4" width="15" style="6" customWidth="1"/>
    <col min="5" max="5" width="15.28515625" style="6" customWidth="1"/>
    <col min="6" max="6" width="15.42578125" style="6" customWidth="1"/>
    <col min="7" max="7" width="15" style="6" bestFit="1" customWidth="1"/>
    <col min="8" max="8" width="14.140625" style="6" bestFit="1" customWidth="1"/>
    <col min="9" max="16384" width="11.42578125" style="6"/>
  </cols>
  <sheetData>
    <row r="2" spans="1:8" ht="15.75" x14ac:dyDescent="0.25">
      <c r="A2" s="57" t="s">
        <v>109</v>
      </c>
      <c r="B2" s="57"/>
      <c r="C2" s="57"/>
      <c r="D2" s="57"/>
      <c r="E2" s="57"/>
      <c r="F2" s="57"/>
      <c r="G2" s="57"/>
    </row>
    <row r="4" spans="1:8" x14ac:dyDescent="0.25">
      <c r="A4" s="53" t="s">
        <v>0</v>
      </c>
      <c r="B4" s="55" t="s">
        <v>1</v>
      </c>
      <c r="C4" s="58" t="s">
        <v>2</v>
      </c>
      <c r="D4" s="58"/>
      <c r="E4" s="58"/>
      <c r="F4" s="58"/>
      <c r="G4" s="58"/>
      <c r="H4" s="58"/>
    </row>
    <row r="5" spans="1:8" ht="31.5" customHeight="1" thickBot="1" x14ac:dyDescent="0.3">
      <c r="A5" s="54"/>
      <c r="B5" s="56"/>
      <c r="C5" s="26" t="s">
        <v>99</v>
      </c>
      <c r="D5" s="7" t="s">
        <v>3</v>
      </c>
      <c r="E5" s="7" t="s">
        <v>4</v>
      </c>
      <c r="F5" s="8" t="s">
        <v>46</v>
      </c>
      <c r="G5" s="8" t="s">
        <v>45</v>
      </c>
      <c r="H5" s="8" t="s">
        <v>47</v>
      </c>
    </row>
    <row r="6" spans="1:8" ht="15.75" thickTop="1" x14ac:dyDescent="0.25"/>
    <row r="7" spans="1:8" x14ac:dyDescent="0.25">
      <c r="A7" s="9" t="s">
        <v>5</v>
      </c>
    </row>
    <row r="9" spans="1:8" x14ac:dyDescent="0.25">
      <c r="A9" s="6" t="s">
        <v>6</v>
      </c>
    </row>
    <row r="10" spans="1:8" x14ac:dyDescent="0.25">
      <c r="A10" s="3" t="s">
        <v>7</v>
      </c>
      <c r="B10" s="19">
        <f>SUM(C10:H10)</f>
        <v>75800.333333333343</v>
      </c>
      <c r="C10" s="19">
        <f>204894/3</f>
        <v>68298</v>
      </c>
      <c r="D10" s="19">
        <f>11586/3</f>
        <v>3862</v>
      </c>
      <c r="E10" s="19">
        <f>4842/3</f>
        <v>1614</v>
      </c>
      <c r="F10" s="19">
        <f>4451/3</f>
        <v>1483.6666666666667</v>
      </c>
      <c r="G10" s="19">
        <f>1628/3</f>
        <v>542.66666666666663</v>
      </c>
      <c r="H10" s="19">
        <v>0</v>
      </c>
    </row>
    <row r="11" spans="1:8" x14ac:dyDescent="0.25">
      <c r="A11" s="3" t="s">
        <v>8</v>
      </c>
      <c r="B11" s="19">
        <f>SUM(C11:H11)</f>
        <v>87311</v>
      </c>
      <c r="C11" s="19">
        <f>1827+75209</f>
        <v>77036</v>
      </c>
      <c r="D11" s="19">
        <v>5000</v>
      </c>
      <c r="E11" s="19">
        <v>2300</v>
      </c>
      <c r="F11" s="19">
        <v>2100</v>
      </c>
      <c r="G11" s="19">
        <v>700</v>
      </c>
      <c r="H11" s="19">
        <v>175</v>
      </c>
    </row>
    <row r="12" spans="1:8" x14ac:dyDescent="0.25">
      <c r="A12" s="3" t="s">
        <v>9</v>
      </c>
      <c r="B12" s="19">
        <f>SUM(C12:H12)</f>
        <v>79737.666666666672</v>
      </c>
      <c r="C12" s="19">
        <f>197748/3</f>
        <v>65916</v>
      </c>
      <c r="D12" s="19">
        <f>25919/3</f>
        <v>8639.6666666666661</v>
      </c>
      <c r="E12" s="19">
        <f>7894/3</f>
        <v>2631.3333333333335</v>
      </c>
      <c r="F12" s="19">
        <f>5975/3</f>
        <v>1991.6666666666667</v>
      </c>
      <c r="G12" s="19">
        <f>1677/3</f>
        <v>559</v>
      </c>
      <c r="H12" s="19">
        <v>0</v>
      </c>
    </row>
    <row r="13" spans="1:8" x14ac:dyDescent="0.25">
      <c r="A13" s="3" t="s">
        <v>10</v>
      </c>
      <c r="B13" s="19">
        <f>SUM(C13:H13)</f>
        <v>87535.916666666672</v>
      </c>
      <c r="C13" s="19">
        <f>1827+75209</f>
        <v>77036</v>
      </c>
      <c r="D13" s="19">
        <f>59999/12</f>
        <v>4999.916666666667</v>
      </c>
      <c r="E13" s="19">
        <f>27600/12</f>
        <v>2300</v>
      </c>
      <c r="F13" s="19">
        <f>25200/12</f>
        <v>2100</v>
      </c>
      <c r="G13" s="19">
        <f>8400/12</f>
        <v>700</v>
      </c>
      <c r="H13" s="19">
        <v>400</v>
      </c>
    </row>
    <row r="14" spans="1:8" x14ac:dyDescent="0.25">
      <c r="C14" s="10"/>
    </row>
    <row r="15" spans="1:8" x14ac:dyDescent="0.25">
      <c r="A15" s="5" t="s">
        <v>11</v>
      </c>
    </row>
    <row r="16" spans="1:8" x14ac:dyDescent="0.25">
      <c r="A16" s="3" t="s">
        <v>7</v>
      </c>
      <c r="B16" s="2">
        <f>SUM(C16:H16)</f>
        <v>3081630144.5</v>
      </c>
      <c r="C16" s="23">
        <v>2253834000</v>
      </c>
      <c r="D16" s="2">
        <v>196962000</v>
      </c>
      <c r="E16" s="2">
        <v>275280000</v>
      </c>
      <c r="F16" s="2">
        <v>257874144.5</v>
      </c>
      <c r="G16" s="2">
        <v>97680000</v>
      </c>
      <c r="H16" s="2">
        <v>0</v>
      </c>
    </row>
    <row r="17" spans="1:8" x14ac:dyDescent="0.25">
      <c r="A17" s="3" t="s">
        <v>8</v>
      </c>
      <c r="B17" s="2">
        <f>SUM(C17:H17)</f>
        <v>3681575500</v>
      </c>
      <c r="C17" s="23">
        <f>60291000+2481897000</f>
        <v>2542188000</v>
      </c>
      <c r="D17" s="2">
        <v>255000000</v>
      </c>
      <c r="E17" s="2">
        <v>276000000</v>
      </c>
      <c r="F17" s="2">
        <v>409500000</v>
      </c>
      <c r="G17" s="2">
        <v>126000000</v>
      </c>
      <c r="H17" s="2">
        <v>72887500</v>
      </c>
    </row>
    <row r="18" spans="1:8" x14ac:dyDescent="0.25">
      <c r="A18" s="3" t="s">
        <v>9</v>
      </c>
      <c r="B18" s="2">
        <f>SUM(C18:H18)</f>
        <v>3367770828</v>
      </c>
      <c r="C18" s="23">
        <v>2175228000</v>
      </c>
      <c r="D18" s="2">
        <v>440623000</v>
      </c>
      <c r="E18" s="2">
        <v>315760000</v>
      </c>
      <c r="F18" s="2">
        <v>335539828</v>
      </c>
      <c r="G18" s="17">
        <v>100620000</v>
      </c>
      <c r="H18" s="17">
        <v>0</v>
      </c>
    </row>
    <row r="19" spans="1:8" x14ac:dyDescent="0.25">
      <c r="A19" s="3" t="s">
        <v>10</v>
      </c>
      <c r="B19" s="2">
        <f>SUM(C19:H19)</f>
        <v>14913727000</v>
      </c>
      <c r="C19" s="23">
        <f>241164000+9927588000</f>
        <v>10168752000</v>
      </c>
      <c r="D19" s="2">
        <v>1020000000</v>
      </c>
      <c r="E19" s="2">
        <v>1104000000</v>
      </c>
      <c r="F19" s="2">
        <v>1638000000</v>
      </c>
      <c r="G19" s="2">
        <v>504000000</v>
      </c>
      <c r="H19" s="2">
        <v>478975000</v>
      </c>
    </row>
    <row r="20" spans="1:8" x14ac:dyDescent="0.25">
      <c r="A20" s="3" t="s">
        <v>12</v>
      </c>
      <c r="B20" s="2">
        <f>SUM(C20:H20)</f>
        <v>3367770828</v>
      </c>
      <c r="C20" s="23">
        <f>C18</f>
        <v>2175228000</v>
      </c>
      <c r="D20" s="2">
        <f>D18</f>
        <v>440623000</v>
      </c>
      <c r="E20" s="2">
        <f t="shared" ref="E20:H20" si="0">E18</f>
        <v>315760000</v>
      </c>
      <c r="F20" s="2">
        <f t="shared" si="0"/>
        <v>335539828</v>
      </c>
      <c r="G20" s="2">
        <f t="shared" si="0"/>
        <v>100620000</v>
      </c>
      <c r="H20" s="2">
        <f t="shared" si="0"/>
        <v>0</v>
      </c>
    </row>
    <row r="21" spans="1:8" x14ac:dyDescent="0.25">
      <c r="B21" s="2"/>
      <c r="C21" s="2"/>
      <c r="D21" s="2"/>
    </row>
    <row r="22" spans="1:8" x14ac:dyDescent="0.25">
      <c r="A22" s="5" t="s">
        <v>13</v>
      </c>
      <c r="B22" s="2"/>
      <c r="C22" s="2"/>
      <c r="D22" s="2"/>
    </row>
    <row r="23" spans="1:8" x14ac:dyDescent="0.25">
      <c r="A23" s="3" t="s">
        <v>8</v>
      </c>
      <c r="B23" s="2">
        <f>B17</f>
        <v>3681575500</v>
      </c>
      <c r="C23" s="4"/>
      <c r="D23" s="4"/>
      <c r="E23" s="4"/>
      <c r="F23" s="4"/>
    </row>
    <row r="24" spans="1:8" x14ac:dyDescent="0.25">
      <c r="A24" s="3" t="s">
        <v>9</v>
      </c>
      <c r="B24" s="2">
        <v>5056175555.8599997</v>
      </c>
      <c r="C24" s="4"/>
      <c r="D24" s="4"/>
      <c r="E24" s="4"/>
      <c r="F24" s="4"/>
    </row>
    <row r="26" spans="1:8" x14ac:dyDescent="0.25">
      <c r="A26" s="6" t="s">
        <v>14</v>
      </c>
    </row>
    <row r="27" spans="1:8" x14ac:dyDescent="0.25">
      <c r="A27" s="6" t="s">
        <v>15</v>
      </c>
      <c r="B27" s="6">
        <v>1.39</v>
      </c>
      <c r="C27" s="24">
        <v>1.39</v>
      </c>
      <c r="D27" s="6">
        <v>1.39</v>
      </c>
      <c r="E27" s="6">
        <v>1.39</v>
      </c>
      <c r="F27" s="6">
        <v>1.39</v>
      </c>
      <c r="G27" s="6">
        <v>1.39</v>
      </c>
      <c r="H27" s="6">
        <v>1.39</v>
      </c>
    </row>
    <row r="28" spans="1:8" x14ac:dyDescent="0.25">
      <c r="A28" s="6" t="s">
        <v>16</v>
      </c>
      <c r="B28" s="6">
        <v>1.46</v>
      </c>
      <c r="C28" s="24">
        <v>1.46</v>
      </c>
      <c r="D28" s="6">
        <v>1.46</v>
      </c>
      <c r="E28" s="6">
        <v>1.46</v>
      </c>
      <c r="F28" s="6">
        <v>1.46</v>
      </c>
      <c r="G28" s="6">
        <v>1.46</v>
      </c>
      <c r="H28" s="6">
        <v>1.46</v>
      </c>
    </row>
    <row r="29" spans="1:8" x14ac:dyDescent="0.25">
      <c r="A29" s="3" t="s">
        <v>17</v>
      </c>
      <c r="B29" s="28">
        <f>SUM(C29:F29)</f>
        <v>259781</v>
      </c>
      <c r="C29" s="23">
        <v>223258</v>
      </c>
      <c r="D29" s="19">
        <v>8954</v>
      </c>
      <c r="E29" s="15">
        <v>8954</v>
      </c>
      <c r="F29" s="19">
        <v>18615</v>
      </c>
      <c r="G29" s="19" t="s">
        <v>115</v>
      </c>
      <c r="H29" s="6" t="s">
        <v>115</v>
      </c>
    </row>
    <row r="31" spans="1:8" x14ac:dyDescent="0.25">
      <c r="A31" s="6" t="s">
        <v>18</v>
      </c>
    </row>
    <row r="32" spans="1:8" x14ac:dyDescent="0.25">
      <c r="A32" s="6" t="s">
        <v>19</v>
      </c>
      <c r="B32" s="2">
        <f t="shared" ref="B32:F32" si="1">B16/B27</f>
        <v>2217000103.9568348</v>
      </c>
      <c r="C32" s="23">
        <f t="shared" si="1"/>
        <v>1621463309.3525181</v>
      </c>
      <c r="D32" s="2">
        <f t="shared" si="1"/>
        <v>141699280.57553959</v>
      </c>
      <c r="E32" s="2">
        <f t="shared" si="1"/>
        <v>198043165.46762592</v>
      </c>
      <c r="F32" s="2">
        <f t="shared" si="1"/>
        <v>185520967.26618707</v>
      </c>
      <c r="G32" s="2">
        <f>G16/G27</f>
        <v>70273381.29496403</v>
      </c>
      <c r="H32" s="2">
        <f>H16/H27</f>
        <v>0</v>
      </c>
    </row>
    <row r="33" spans="1:8" x14ac:dyDescent="0.25">
      <c r="A33" s="6" t="s">
        <v>20</v>
      </c>
      <c r="B33" s="2">
        <f t="shared" ref="B33:F33" si="2">B18/B28</f>
        <v>2306692347.9452057</v>
      </c>
      <c r="C33" s="23">
        <f t="shared" si="2"/>
        <v>1489882191.780822</v>
      </c>
      <c r="D33" s="2">
        <f t="shared" si="2"/>
        <v>301796575.34246576</v>
      </c>
      <c r="E33" s="2">
        <f t="shared" si="2"/>
        <v>216273972.60273972</v>
      </c>
      <c r="F33" s="2">
        <f t="shared" si="2"/>
        <v>229821800</v>
      </c>
      <c r="G33" s="2">
        <f>G18/G28</f>
        <v>68917808.219178081</v>
      </c>
      <c r="H33" s="2">
        <f>H18/H28</f>
        <v>0</v>
      </c>
    </row>
    <row r="34" spans="1:8" x14ac:dyDescent="0.25">
      <c r="A34" s="6" t="s">
        <v>21</v>
      </c>
      <c r="B34" s="2">
        <f t="shared" ref="B34:F34" si="3">B32/B10</f>
        <v>29247.893860935103</v>
      </c>
      <c r="C34" s="23">
        <f t="shared" si="3"/>
        <v>23741.007194244605</v>
      </c>
      <c r="D34" s="2">
        <f t="shared" si="3"/>
        <v>36690.647482014392</v>
      </c>
      <c r="E34" s="2">
        <f t="shared" si="3"/>
        <v>122703.32432938409</v>
      </c>
      <c r="F34" s="2">
        <f t="shared" si="3"/>
        <v>125042.21563661227</v>
      </c>
      <c r="G34" s="2">
        <f>G32/G10</f>
        <v>129496.40287769785</v>
      </c>
      <c r="H34" s="2" t="e">
        <f>H32/H10</f>
        <v>#DIV/0!</v>
      </c>
    </row>
    <row r="35" spans="1:8" x14ac:dyDescent="0.25">
      <c r="A35" s="6" t="s">
        <v>22</v>
      </c>
      <c r="B35" s="2">
        <f>B33/B12</f>
        <v>28928.51577395717</v>
      </c>
      <c r="C35" s="23">
        <f>C33/C12</f>
        <v>22602.739726027397</v>
      </c>
      <c r="D35" s="2">
        <f>D33/D12</f>
        <v>34931.506849315068</v>
      </c>
      <c r="E35" s="2">
        <f>E33/E12</f>
        <v>82191.780821917797</v>
      </c>
      <c r="F35" s="2">
        <f t="shared" ref="F35:H35" si="4">F33/F12</f>
        <v>115391.69874476986</v>
      </c>
      <c r="G35" s="2">
        <f t="shared" si="4"/>
        <v>123287.6712328767</v>
      </c>
      <c r="H35" s="2" t="e">
        <f t="shared" si="4"/>
        <v>#DIV/0!</v>
      </c>
    </row>
    <row r="37" spans="1:8" x14ac:dyDescent="0.25">
      <c r="A37" s="9" t="s">
        <v>23</v>
      </c>
    </row>
    <row r="39" spans="1:8" x14ac:dyDescent="0.25">
      <c r="A39" s="6" t="s">
        <v>24</v>
      </c>
    </row>
    <row r="40" spans="1:8" x14ac:dyDescent="0.25">
      <c r="A40" s="6" t="s">
        <v>25</v>
      </c>
      <c r="B40" s="25">
        <f>(B11/B29)*100</f>
        <v>33.609463355672666</v>
      </c>
      <c r="C40" s="25">
        <f>(C11/C29)*100</f>
        <v>34.505370468247499</v>
      </c>
      <c r="D40" s="25">
        <f t="shared" ref="D40:H40" si="5">(D11/D29)*100</f>
        <v>55.840964931874026</v>
      </c>
      <c r="E40" s="25">
        <f t="shared" si="5"/>
        <v>25.686843868662052</v>
      </c>
      <c r="F40" s="25">
        <f t="shared" si="5"/>
        <v>11.281224818694602</v>
      </c>
      <c r="G40" s="25" t="e">
        <f t="shared" si="5"/>
        <v>#VALUE!</v>
      </c>
      <c r="H40" s="25" t="e">
        <f t="shared" si="5"/>
        <v>#VALUE!</v>
      </c>
    </row>
    <row r="41" spans="1:8" x14ac:dyDescent="0.25">
      <c r="A41" s="6" t="s">
        <v>26</v>
      </c>
      <c r="B41" s="25">
        <f>(B12/B29)*100</f>
        <v>30.694187283391265</v>
      </c>
      <c r="C41" s="25">
        <f>(C12/C29)*100</f>
        <v>29.524585905096345</v>
      </c>
      <c r="D41" s="25">
        <f t="shared" ref="D41:H41" si="6">(D12/D29)*100</f>
        <v>96.489464671282846</v>
      </c>
      <c r="E41" s="25">
        <f t="shared" si="6"/>
        <v>29.38723847814757</v>
      </c>
      <c r="F41" s="25">
        <f t="shared" si="6"/>
        <v>10.69925687169845</v>
      </c>
      <c r="G41" s="25" t="e">
        <f t="shared" si="6"/>
        <v>#VALUE!</v>
      </c>
      <c r="H41" s="25" t="e">
        <f t="shared" si="6"/>
        <v>#VALUE!</v>
      </c>
    </row>
    <row r="43" spans="1:8" x14ac:dyDescent="0.25">
      <c r="A43" s="6" t="s">
        <v>27</v>
      </c>
    </row>
    <row r="44" spans="1:8" x14ac:dyDescent="0.25">
      <c r="A44" s="6" t="s">
        <v>28</v>
      </c>
      <c r="B44" s="4">
        <f t="shared" ref="B44:F44" si="7">B12/B11*100</f>
        <v>91.326026121183673</v>
      </c>
      <c r="C44" s="25">
        <f t="shared" si="7"/>
        <v>85.565190300638662</v>
      </c>
      <c r="D44" s="4">
        <f t="shared" si="7"/>
        <v>172.79333333333332</v>
      </c>
      <c r="E44" s="4">
        <f t="shared" si="7"/>
        <v>114.40579710144929</v>
      </c>
      <c r="F44" s="4">
        <f t="shared" si="7"/>
        <v>94.841269841269849</v>
      </c>
      <c r="G44" s="4">
        <f>G12/G11*100</f>
        <v>79.857142857142861</v>
      </c>
      <c r="H44" s="4">
        <f>H12/H11*100</f>
        <v>0</v>
      </c>
    </row>
    <row r="45" spans="1:8" x14ac:dyDescent="0.25">
      <c r="A45" s="6" t="s">
        <v>29</v>
      </c>
      <c r="B45" s="4">
        <f t="shared" ref="B45:F45" si="8">B18/B17*100</f>
        <v>91.476348318810793</v>
      </c>
      <c r="C45" s="25">
        <f t="shared" si="8"/>
        <v>85.565190300638662</v>
      </c>
      <c r="D45" s="4">
        <f t="shared" si="8"/>
        <v>172.79333333333332</v>
      </c>
      <c r="E45" s="4">
        <f t="shared" si="8"/>
        <v>114.40579710144927</v>
      </c>
      <c r="F45" s="4">
        <f t="shared" si="8"/>
        <v>81.938907936507931</v>
      </c>
      <c r="G45" s="4">
        <f>G18/G17*100</f>
        <v>79.857142857142861</v>
      </c>
      <c r="H45" s="4">
        <f>H18/H17*100</f>
        <v>0</v>
      </c>
    </row>
    <row r="46" spans="1:8" x14ac:dyDescent="0.25">
      <c r="A46" s="6" t="s">
        <v>30</v>
      </c>
      <c r="B46" s="4">
        <f t="shared" ref="B46:F46" si="9">AVERAGE(B44:B45)</f>
        <v>91.40118721999724</v>
      </c>
      <c r="C46" s="25">
        <f t="shared" si="9"/>
        <v>85.565190300638662</v>
      </c>
      <c r="D46" s="4">
        <f t="shared" si="9"/>
        <v>172.79333333333332</v>
      </c>
      <c r="E46" s="4">
        <f t="shared" si="9"/>
        <v>114.40579710144928</v>
      </c>
      <c r="F46" s="4">
        <f t="shared" si="9"/>
        <v>88.390088888888897</v>
      </c>
      <c r="G46" s="4">
        <f>AVERAGE(G44:G45)</f>
        <v>79.857142857142861</v>
      </c>
      <c r="H46" s="4">
        <f>AVERAGE(H44:H45)</f>
        <v>0</v>
      </c>
    </row>
    <row r="47" spans="1:8" x14ac:dyDescent="0.25">
      <c r="B47" s="1"/>
      <c r="C47" s="1"/>
      <c r="D47" s="1"/>
    </row>
    <row r="48" spans="1:8" x14ac:dyDescent="0.25">
      <c r="A48" s="6" t="s">
        <v>31</v>
      </c>
    </row>
    <row r="49" spans="1:8" x14ac:dyDescent="0.25">
      <c r="A49" s="6" t="s">
        <v>32</v>
      </c>
      <c r="B49" s="4">
        <f t="shared" ref="B49:F49" si="10">B12/B13*100</f>
        <v>91.091371065781573</v>
      </c>
      <c r="C49" s="25">
        <f t="shared" si="10"/>
        <v>85.565190300638662</v>
      </c>
      <c r="D49" s="4">
        <f t="shared" si="10"/>
        <v>172.79621327022113</v>
      </c>
      <c r="E49" s="4">
        <f t="shared" si="10"/>
        <v>114.40579710144929</v>
      </c>
      <c r="F49" s="4">
        <f t="shared" si="10"/>
        <v>94.841269841269849</v>
      </c>
      <c r="G49" s="4">
        <f>G12/G13*100</f>
        <v>79.857142857142861</v>
      </c>
      <c r="H49" s="4">
        <f>H12/H13*100</f>
        <v>0</v>
      </c>
    </row>
    <row r="50" spans="1:8" x14ac:dyDescent="0.25">
      <c r="A50" s="6" t="s">
        <v>33</v>
      </c>
      <c r="B50" s="4">
        <f t="shared" ref="B50:F50" si="11">B18/B19*100</f>
        <v>22.581684833040057</v>
      </c>
      <c r="C50" s="25">
        <f t="shared" si="11"/>
        <v>21.391297575159665</v>
      </c>
      <c r="D50" s="4">
        <f t="shared" si="11"/>
        <v>43.198333333333331</v>
      </c>
      <c r="E50" s="4">
        <f t="shared" si="11"/>
        <v>28.601449275362317</v>
      </c>
      <c r="F50" s="4">
        <f t="shared" si="11"/>
        <v>20.484726984126983</v>
      </c>
      <c r="G50" s="4">
        <f>G18/G19*100</f>
        <v>19.964285714285715</v>
      </c>
      <c r="H50" s="4">
        <f>H18/H19*100</f>
        <v>0</v>
      </c>
    </row>
    <row r="51" spans="1:8" x14ac:dyDescent="0.25">
      <c r="A51" s="6" t="s">
        <v>34</v>
      </c>
      <c r="B51" s="4">
        <f t="shared" ref="B51:F51" si="12">(B49+B50)/2</f>
        <v>56.836527949410815</v>
      </c>
      <c r="C51" s="25">
        <f t="shared" si="12"/>
        <v>53.478243937899165</v>
      </c>
      <c r="D51" s="4">
        <f t="shared" si="12"/>
        <v>107.99727330177723</v>
      </c>
      <c r="E51" s="4">
        <f t="shared" si="12"/>
        <v>71.503623188405811</v>
      </c>
      <c r="F51" s="4">
        <f t="shared" si="12"/>
        <v>57.662998412698414</v>
      </c>
      <c r="G51" s="4">
        <f>(G49+G50)/2</f>
        <v>49.910714285714292</v>
      </c>
      <c r="H51" s="4">
        <f>(H49+H50)/2</f>
        <v>0</v>
      </c>
    </row>
    <row r="53" spans="1:8" x14ac:dyDescent="0.25">
      <c r="A53" s="6" t="s">
        <v>35</v>
      </c>
      <c r="B53" s="4">
        <f>B20/B18*100</f>
        <v>100</v>
      </c>
      <c r="C53" s="25">
        <f>C20/C18*100</f>
        <v>100</v>
      </c>
      <c r="D53" s="4">
        <f>D20/D18*100</f>
        <v>100</v>
      </c>
      <c r="E53" s="4">
        <f>E20/E18*100</f>
        <v>100</v>
      </c>
      <c r="F53" s="11" t="s">
        <v>98</v>
      </c>
    </row>
    <row r="55" spans="1:8" x14ac:dyDescent="0.25">
      <c r="A55" s="6" t="s">
        <v>36</v>
      </c>
    </row>
    <row r="56" spans="1:8" x14ac:dyDescent="0.25">
      <c r="A56" s="6" t="s">
        <v>37</v>
      </c>
      <c r="B56" s="4">
        <f t="shared" ref="B56:F56" si="13">((B12/B10)-1)*100</f>
        <v>5.1943483098139343</v>
      </c>
      <c r="C56" s="25">
        <f t="shared" si="13"/>
        <v>-3.4876570324167577</v>
      </c>
      <c r="D56" s="4">
        <f t="shared" si="13"/>
        <v>123.70964957707575</v>
      </c>
      <c r="E56" s="4">
        <f t="shared" si="13"/>
        <v>63.031805039239998</v>
      </c>
      <c r="F56" s="4">
        <f t="shared" si="13"/>
        <v>34.239496742305107</v>
      </c>
      <c r="G56" s="4">
        <f>((G12/G10)-1)*100</f>
        <v>3.0098280098280084</v>
      </c>
      <c r="H56" s="4" t="e">
        <f>((H12/H10)-1)*100</f>
        <v>#DIV/0!</v>
      </c>
    </row>
    <row r="57" spans="1:8" x14ac:dyDescent="0.25">
      <c r="A57" s="6" t="s">
        <v>38</v>
      </c>
      <c r="B57" s="4">
        <f t="shared" ref="B57:H57" si="14">((B33/B32)-1)*100</f>
        <v>4.0456580867222813</v>
      </c>
      <c r="C57" s="25">
        <f t="shared" si="14"/>
        <v>-8.1149611473008925</v>
      </c>
      <c r="D57" s="4">
        <f t="shared" si="14"/>
        <v>112.98384446036663</v>
      </c>
      <c r="E57" s="4">
        <f t="shared" si="14"/>
        <v>9.2054714900494652</v>
      </c>
      <c r="F57" s="4">
        <f t="shared" si="14"/>
        <v>23.879151443971125</v>
      </c>
      <c r="G57" s="4">
        <f t="shared" si="14"/>
        <v>-1.9289993605062117</v>
      </c>
      <c r="H57" s="4" t="e">
        <f t="shared" si="14"/>
        <v>#DIV/0!</v>
      </c>
    </row>
    <row r="58" spans="1:8" x14ac:dyDescent="0.25">
      <c r="A58" s="6" t="s">
        <v>39</v>
      </c>
      <c r="B58" s="4">
        <f t="shared" ref="B58:F58" si="15">((B35/B34)-1)*100</f>
        <v>-1.0919695226482951</v>
      </c>
      <c r="C58" s="25">
        <f t="shared" si="15"/>
        <v>-4.7945205479452024</v>
      </c>
      <c r="D58" s="4">
        <f t="shared" si="15"/>
        <v>-4.7945205479452131</v>
      </c>
      <c r="E58" s="4">
        <f t="shared" si="15"/>
        <v>-33.015848371570875</v>
      </c>
      <c r="F58" s="4">
        <f t="shared" si="15"/>
        <v>-7.7178070163823502</v>
      </c>
      <c r="G58" s="4">
        <f>((G35/G34)-1)*100</f>
        <v>-4.7945205479452246</v>
      </c>
      <c r="H58" s="4" t="e">
        <f>((H35/H34)-1)*100</f>
        <v>#DIV/0!</v>
      </c>
    </row>
    <row r="59" spans="1:8" x14ac:dyDescent="0.25">
      <c r="B59" s="1"/>
      <c r="C59" s="1"/>
      <c r="D59" s="1"/>
    </row>
    <row r="60" spans="1:8" x14ac:dyDescent="0.25">
      <c r="A60" s="6" t="s">
        <v>40</v>
      </c>
    </row>
    <row r="61" spans="1:8" x14ac:dyDescent="0.25">
      <c r="A61" s="6" t="s">
        <v>106</v>
      </c>
      <c r="B61" s="2">
        <f>B17/(B11*3)</f>
        <v>14055.409207698152</v>
      </c>
      <c r="C61" s="23">
        <f t="shared" ref="C61:H61" si="16">C17/(C11*3)</f>
        <v>11000</v>
      </c>
      <c r="D61" s="2">
        <f t="shared" si="16"/>
        <v>17000</v>
      </c>
      <c r="E61" s="2">
        <f t="shared" si="16"/>
        <v>40000</v>
      </c>
      <c r="F61" s="2">
        <f t="shared" si="16"/>
        <v>65000</v>
      </c>
      <c r="G61" s="2">
        <f t="shared" si="16"/>
        <v>60000</v>
      </c>
      <c r="H61" s="2">
        <f t="shared" si="16"/>
        <v>138833.33333333334</v>
      </c>
    </row>
    <row r="62" spans="1:8" x14ac:dyDescent="0.25">
      <c r="A62" s="6" t="s">
        <v>107</v>
      </c>
      <c r="B62" s="2">
        <f>B18/(B12*3)</f>
        <v>14078.544343325822</v>
      </c>
      <c r="C62" s="23">
        <f t="shared" ref="C62:H62" si="17">C18/(C12*3)</f>
        <v>11000</v>
      </c>
      <c r="D62" s="2">
        <f t="shared" si="17"/>
        <v>17000</v>
      </c>
      <c r="E62" s="2">
        <f t="shared" si="17"/>
        <v>40000</v>
      </c>
      <c r="F62" s="2">
        <f t="shared" si="17"/>
        <v>56157.29338912134</v>
      </c>
      <c r="G62" s="2">
        <f t="shared" si="17"/>
        <v>60000</v>
      </c>
      <c r="H62" s="2" t="e">
        <f t="shared" si="17"/>
        <v>#DIV/0!</v>
      </c>
    </row>
    <row r="63" spans="1:8" x14ac:dyDescent="0.25">
      <c r="A63" s="6" t="s">
        <v>41</v>
      </c>
      <c r="B63" s="4">
        <f t="shared" ref="B63:H63" si="18">(B61/B62)*B46</f>
        <v>91.250988533876182</v>
      </c>
      <c r="C63" s="25">
        <f t="shared" si="18"/>
        <v>85.565190300638662</v>
      </c>
      <c r="D63" s="4">
        <f t="shared" si="18"/>
        <v>172.79333333333332</v>
      </c>
      <c r="E63" s="4">
        <f t="shared" si="18"/>
        <v>114.40579710144928</v>
      </c>
      <c r="F63" s="4">
        <f t="shared" si="18"/>
        <v>102.30827433166064</v>
      </c>
      <c r="G63" s="4">
        <f t="shared" si="18"/>
        <v>79.857142857142861</v>
      </c>
      <c r="H63" s="4" t="e">
        <f t="shared" si="18"/>
        <v>#DIV/0!</v>
      </c>
    </row>
    <row r="64" spans="1:8" x14ac:dyDescent="0.25">
      <c r="A64" s="6" t="s">
        <v>123</v>
      </c>
      <c r="B64" s="2">
        <f>B17/B11</f>
        <v>42166.227623094455</v>
      </c>
      <c r="C64" s="2">
        <f t="shared" ref="C64:H64" si="19">C17/C11</f>
        <v>33000</v>
      </c>
      <c r="D64" s="2">
        <f t="shared" si="19"/>
        <v>51000</v>
      </c>
      <c r="E64" s="2">
        <f t="shared" si="19"/>
        <v>120000</v>
      </c>
      <c r="F64" s="2">
        <f t="shared" si="19"/>
        <v>195000</v>
      </c>
      <c r="G64" s="2">
        <f t="shared" si="19"/>
        <v>180000</v>
      </c>
      <c r="H64" s="2">
        <f t="shared" si="19"/>
        <v>416500</v>
      </c>
    </row>
    <row r="65" spans="1:8" x14ac:dyDescent="0.25">
      <c r="A65" s="6" t="s">
        <v>124</v>
      </c>
      <c r="B65" s="2">
        <f>B18/B12</f>
        <v>42235.633029977464</v>
      </c>
      <c r="C65" s="2">
        <f t="shared" ref="C65:H65" si="20">C18/C12</f>
        <v>33000</v>
      </c>
      <c r="D65" s="2">
        <f t="shared" si="20"/>
        <v>51000</v>
      </c>
      <c r="E65" s="2">
        <f t="shared" si="20"/>
        <v>120000</v>
      </c>
      <c r="F65" s="2">
        <f t="shared" si="20"/>
        <v>168471.880167364</v>
      </c>
      <c r="G65" s="2">
        <f t="shared" si="20"/>
        <v>180000</v>
      </c>
      <c r="H65" s="2" t="e">
        <f t="shared" si="20"/>
        <v>#DIV/0!</v>
      </c>
    </row>
    <row r="66" spans="1:8" x14ac:dyDescent="0.25">
      <c r="B66" s="1"/>
      <c r="C66" s="1"/>
      <c r="D66" s="1"/>
    </row>
    <row r="67" spans="1:8" x14ac:dyDescent="0.25">
      <c r="A67" s="6" t="s">
        <v>42</v>
      </c>
      <c r="B67" s="1"/>
      <c r="C67" s="1"/>
      <c r="D67" s="1"/>
    </row>
    <row r="68" spans="1:8" x14ac:dyDescent="0.25">
      <c r="A68" s="6" t="s">
        <v>43</v>
      </c>
      <c r="B68" s="4">
        <f>(B24/B23)*100</f>
        <v>137.33727736562784</v>
      </c>
      <c r="C68" s="4"/>
      <c r="D68" s="4"/>
      <c r="E68" s="4"/>
      <c r="F68" s="4"/>
    </row>
    <row r="69" spans="1:8" x14ac:dyDescent="0.25">
      <c r="A69" s="6" t="s">
        <v>44</v>
      </c>
      <c r="B69" s="4">
        <f>(B18/B24)*100</f>
        <v>66.607078626785921</v>
      </c>
      <c r="C69" s="4"/>
      <c r="D69" s="4"/>
      <c r="E69" s="4"/>
      <c r="F69" s="4"/>
    </row>
    <row r="70" spans="1:8" ht="15.75" thickBot="1" x14ac:dyDescent="0.3">
      <c r="A70" s="12"/>
      <c r="B70" s="12"/>
      <c r="C70" s="12"/>
      <c r="D70" s="12"/>
      <c r="E70" s="12"/>
      <c r="F70" s="12"/>
      <c r="G70" s="12"/>
      <c r="H70" s="12"/>
    </row>
    <row r="71" spans="1:8" ht="15.75" thickTop="1" x14ac:dyDescent="0.25"/>
    <row r="72" spans="1:8" x14ac:dyDescent="0.25">
      <c r="A72" s="13" t="s">
        <v>101</v>
      </c>
    </row>
    <row r="73" spans="1:8" x14ac:dyDescent="0.25">
      <c r="A73" s="18" t="s">
        <v>105</v>
      </c>
    </row>
    <row r="74" spans="1:8" x14ac:dyDescent="0.25">
      <c r="A74" s="6" t="s">
        <v>102</v>
      </c>
      <c r="B74" s="14"/>
      <c r="C74" s="14"/>
    </row>
    <row r="75" spans="1:8" x14ac:dyDescent="0.25">
      <c r="A75" s="6" t="s">
        <v>103</v>
      </c>
    </row>
    <row r="76" spans="1:8" x14ac:dyDescent="0.25">
      <c r="A76" s="6" t="s">
        <v>104</v>
      </c>
    </row>
    <row r="78" spans="1:8" x14ac:dyDescent="0.25">
      <c r="A78" s="9" t="s">
        <v>116</v>
      </c>
    </row>
    <row r="79" spans="1:8" x14ac:dyDescent="0.25">
      <c r="A79" s="6" t="s">
        <v>117</v>
      </c>
    </row>
    <row r="80" spans="1:8" x14ac:dyDescent="0.25">
      <c r="A80" s="29" t="s">
        <v>118</v>
      </c>
    </row>
    <row r="81" spans="1:1" x14ac:dyDescent="0.25">
      <c r="A81" s="29" t="s">
        <v>119</v>
      </c>
    </row>
    <row r="82" spans="1:1" x14ac:dyDescent="0.25">
      <c r="A82" s="29" t="s">
        <v>120</v>
      </c>
    </row>
    <row r="83" spans="1:1" x14ac:dyDescent="0.25">
      <c r="A83" s="29" t="s">
        <v>121</v>
      </c>
    </row>
    <row r="84" spans="1:1" x14ac:dyDescent="0.25">
      <c r="A84" s="29" t="s">
        <v>122</v>
      </c>
    </row>
  </sheetData>
  <mergeCells count="4">
    <mergeCell ref="A4:A5"/>
    <mergeCell ref="B4:B5"/>
    <mergeCell ref="A2:G2"/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4"/>
  <sheetViews>
    <sheetView zoomScale="90" zoomScaleNormal="90" workbookViewId="0">
      <selection activeCell="B24" sqref="B24"/>
    </sheetView>
  </sheetViews>
  <sheetFormatPr baseColWidth="10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7" width="16.28515625" style="6" bestFit="1" customWidth="1"/>
    <col min="8" max="8" width="16" style="6" bestFit="1" customWidth="1"/>
    <col min="9" max="16384" width="11.42578125" style="6"/>
  </cols>
  <sheetData>
    <row r="2" spans="1:8" ht="15.75" x14ac:dyDescent="0.25">
      <c r="A2" s="57" t="s">
        <v>110</v>
      </c>
      <c r="B2" s="57"/>
      <c r="C2" s="57"/>
      <c r="D2" s="57"/>
      <c r="E2" s="57"/>
      <c r="F2" s="57"/>
      <c r="G2" s="57"/>
    </row>
    <row r="4" spans="1:8" x14ac:dyDescent="0.25">
      <c r="A4" s="53" t="s">
        <v>0</v>
      </c>
      <c r="B4" s="55" t="s">
        <v>1</v>
      </c>
      <c r="C4" s="58" t="s">
        <v>2</v>
      </c>
      <c r="D4" s="58"/>
      <c r="E4" s="58"/>
      <c r="F4" s="58"/>
      <c r="G4" s="58"/>
      <c r="H4" s="58"/>
    </row>
    <row r="5" spans="1:8" ht="31.5" customHeight="1" thickBot="1" x14ac:dyDescent="0.3">
      <c r="A5" s="54"/>
      <c r="B5" s="56"/>
      <c r="C5" s="26" t="s">
        <v>100</v>
      </c>
      <c r="D5" s="7" t="s">
        <v>3</v>
      </c>
      <c r="E5" s="7" t="s">
        <v>4</v>
      </c>
      <c r="F5" s="8" t="s">
        <v>46</v>
      </c>
      <c r="G5" s="8" t="s">
        <v>45</v>
      </c>
      <c r="H5" s="27" t="s">
        <v>47</v>
      </c>
    </row>
    <row r="6" spans="1:8" ht="15.75" thickTop="1" x14ac:dyDescent="0.25"/>
    <row r="7" spans="1:8" x14ac:dyDescent="0.25">
      <c r="A7" s="9" t="s">
        <v>5</v>
      </c>
    </row>
    <row r="9" spans="1:8" x14ac:dyDescent="0.25">
      <c r="A9" s="6" t="s">
        <v>6</v>
      </c>
    </row>
    <row r="10" spans="1:8" x14ac:dyDescent="0.25">
      <c r="A10" s="3" t="s">
        <v>58</v>
      </c>
      <c r="B10" s="19">
        <f>SUM(C10:H10)</f>
        <v>78850.222222222219</v>
      </c>
      <c r="C10" s="19">
        <f>640779/9</f>
        <v>71197.666666666672</v>
      </c>
      <c r="D10" s="19">
        <f>38172/9</f>
        <v>4241.333333333333</v>
      </c>
      <c r="E10" s="19">
        <f>13764/9</f>
        <v>1529.3333333333333</v>
      </c>
      <c r="F10" s="19">
        <f>12220/9</f>
        <v>1357.7777777777778</v>
      </c>
      <c r="G10" s="19">
        <f>4717/9</f>
        <v>524.11111111111109</v>
      </c>
      <c r="H10" s="19">
        <v>0</v>
      </c>
    </row>
    <row r="11" spans="1:8" x14ac:dyDescent="0.25">
      <c r="A11" s="3" t="s">
        <v>59</v>
      </c>
      <c r="B11" s="19">
        <f>SUM(C11:H11)</f>
        <v>87386</v>
      </c>
      <c r="C11" s="19">
        <f>1827+75209</f>
        <v>77036</v>
      </c>
      <c r="D11" s="19">
        <v>5000</v>
      </c>
      <c r="E11" s="19">
        <v>2300</v>
      </c>
      <c r="F11" s="19">
        <v>2100</v>
      </c>
      <c r="G11" s="19">
        <v>700</v>
      </c>
      <c r="H11" s="19">
        <f>(175+175+400)/3</f>
        <v>250</v>
      </c>
    </row>
    <row r="12" spans="1:8" x14ac:dyDescent="0.25">
      <c r="A12" s="3" t="s">
        <v>60</v>
      </c>
      <c r="B12" s="19">
        <f>SUM(C12:H12)</f>
        <v>96225.666666666657</v>
      </c>
      <c r="C12" s="19">
        <f>261628/3</f>
        <v>87209.333333333328</v>
      </c>
      <c r="D12" s="19">
        <f>18002/3</f>
        <v>6000.666666666667</v>
      </c>
      <c r="E12" s="19">
        <f>4144/3</f>
        <v>1381.3333333333333</v>
      </c>
      <c r="F12" s="19">
        <f>3063/3</f>
        <v>1021</v>
      </c>
      <c r="G12" s="19">
        <f>1840/3</f>
        <v>613.33333333333337</v>
      </c>
      <c r="H12" s="19">
        <v>0</v>
      </c>
    </row>
    <row r="13" spans="1:8" x14ac:dyDescent="0.25">
      <c r="A13" s="3" t="s">
        <v>10</v>
      </c>
      <c r="B13" s="19">
        <f>SUM(C13:H13)</f>
        <v>87535.916666666672</v>
      </c>
      <c r="C13" s="19">
        <f>1827+75209</f>
        <v>77036</v>
      </c>
      <c r="D13" s="19">
        <f>59999/12</f>
        <v>4999.916666666667</v>
      </c>
      <c r="E13" s="19">
        <f>27600/12</f>
        <v>2300</v>
      </c>
      <c r="F13" s="19">
        <f>25200/12</f>
        <v>2100</v>
      </c>
      <c r="G13" s="19">
        <f>8400/12</f>
        <v>700</v>
      </c>
      <c r="H13" s="19">
        <v>400</v>
      </c>
    </row>
    <row r="14" spans="1:8" x14ac:dyDescent="0.25">
      <c r="C14" s="10"/>
    </row>
    <row r="15" spans="1:8" x14ac:dyDescent="0.25">
      <c r="A15" s="5" t="s">
        <v>11</v>
      </c>
    </row>
    <row r="16" spans="1:8" x14ac:dyDescent="0.25">
      <c r="A16" s="3" t="s">
        <v>58</v>
      </c>
      <c r="B16" s="2">
        <f>SUM(C16:H16)</f>
        <v>9232417472</v>
      </c>
      <c r="C16" s="23">
        <v>7048569000</v>
      </c>
      <c r="D16" s="2">
        <v>648924000</v>
      </c>
      <c r="E16" s="2">
        <v>550560000</v>
      </c>
      <c r="F16" s="2">
        <v>701344472</v>
      </c>
      <c r="G16" s="2">
        <v>283020000</v>
      </c>
      <c r="H16" s="2">
        <v>0</v>
      </c>
    </row>
    <row r="17" spans="1:8" x14ac:dyDescent="0.25">
      <c r="A17" s="3" t="s">
        <v>59</v>
      </c>
      <c r="B17" s="2">
        <f>SUM(C17:H17)</f>
        <v>3764875500</v>
      </c>
      <c r="C17" s="23">
        <f>60291000+2481897000</f>
        <v>2542188000</v>
      </c>
      <c r="D17" s="2">
        <v>255000000</v>
      </c>
      <c r="E17" s="2">
        <v>276000000</v>
      </c>
      <c r="F17" s="2">
        <v>409500000</v>
      </c>
      <c r="G17" s="2">
        <v>126000000</v>
      </c>
      <c r="H17" s="2">
        <v>156187500</v>
      </c>
    </row>
    <row r="18" spans="1:8" x14ac:dyDescent="0.25">
      <c r="A18" s="3" t="s">
        <v>60</v>
      </c>
      <c r="B18" s="2">
        <f>SUM(C18:H18)</f>
        <v>3693816690.46</v>
      </c>
      <c r="C18" s="23">
        <v>2877908000</v>
      </c>
      <c r="D18" s="2">
        <v>306034000</v>
      </c>
      <c r="E18" s="2">
        <v>165760000</v>
      </c>
      <c r="F18" s="2">
        <v>233714690.46000022</v>
      </c>
      <c r="G18" s="17">
        <v>110400000</v>
      </c>
      <c r="H18" s="17">
        <v>0</v>
      </c>
    </row>
    <row r="19" spans="1:8" x14ac:dyDescent="0.25">
      <c r="A19" s="3" t="s">
        <v>10</v>
      </c>
      <c r="B19" s="2">
        <f>SUM(C19:H19)</f>
        <v>14913727000</v>
      </c>
      <c r="C19" s="23">
        <f>241164000+9927588000</f>
        <v>10168752000</v>
      </c>
      <c r="D19" s="2">
        <v>1020000000</v>
      </c>
      <c r="E19" s="2">
        <v>1104000000</v>
      </c>
      <c r="F19" s="2">
        <v>1638000000</v>
      </c>
      <c r="G19" s="2">
        <v>504000000</v>
      </c>
      <c r="H19" s="2">
        <v>478975000</v>
      </c>
    </row>
    <row r="20" spans="1:8" x14ac:dyDescent="0.25">
      <c r="A20" s="3" t="s">
        <v>61</v>
      </c>
      <c r="B20" s="2">
        <f>SUM(C20:H20)</f>
        <v>3693816690.46</v>
      </c>
      <c r="C20" s="23">
        <f>C18</f>
        <v>2877908000</v>
      </c>
      <c r="D20" s="2">
        <f>D18</f>
        <v>306034000</v>
      </c>
      <c r="E20" s="2">
        <f t="shared" ref="E20:H20" si="0">E18</f>
        <v>165760000</v>
      </c>
      <c r="F20" s="2">
        <f t="shared" si="0"/>
        <v>233714690.46000022</v>
      </c>
      <c r="G20" s="2">
        <f t="shared" si="0"/>
        <v>110400000</v>
      </c>
      <c r="H20" s="2">
        <f t="shared" si="0"/>
        <v>0</v>
      </c>
    </row>
    <row r="21" spans="1:8" x14ac:dyDescent="0.25">
      <c r="B21" s="2"/>
      <c r="C21" s="2"/>
      <c r="D21" s="2"/>
    </row>
    <row r="22" spans="1:8" x14ac:dyDescent="0.25">
      <c r="A22" s="5" t="s">
        <v>13</v>
      </c>
      <c r="B22" s="2"/>
      <c r="C22" s="2"/>
      <c r="D22" s="2"/>
    </row>
    <row r="23" spans="1:8" x14ac:dyDescent="0.25">
      <c r="A23" s="3" t="s">
        <v>59</v>
      </c>
      <c r="B23" s="2">
        <f>B17</f>
        <v>3764875500</v>
      </c>
      <c r="C23" s="4"/>
      <c r="D23" s="4"/>
      <c r="E23" s="4"/>
      <c r="F23" s="4"/>
    </row>
    <row r="24" spans="1:8" x14ac:dyDescent="0.25">
      <c r="A24" s="3" t="s">
        <v>60</v>
      </c>
      <c r="B24" s="2">
        <v>2673137664.46</v>
      </c>
      <c r="C24" s="4"/>
      <c r="D24" s="4"/>
      <c r="E24" s="4"/>
      <c r="F24" s="4"/>
    </row>
    <row r="26" spans="1:8" x14ac:dyDescent="0.25">
      <c r="A26" s="6" t="s">
        <v>14</v>
      </c>
    </row>
    <row r="27" spans="1:8" x14ac:dyDescent="0.25">
      <c r="A27" s="6" t="s">
        <v>62</v>
      </c>
      <c r="B27" s="6">
        <v>1.4</v>
      </c>
      <c r="C27" s="24">
        <v>1.4</v>
      </c>
      <c r="D27" s="6">
        <v>1.4</v>
      </c>
      <c r="E27" s="6">
        <v>1.4</v>
      </c>
      <c r="F27" s="6">
        <v>1.4</v>
      </c>
      <c r="G27" s="6">
        <v>1.4</v>
      </c>
      <c r="H27" s="6">
        <v>1.4</v>
      </c>
    </row>
    <row r="28" spans="1:8" x14ac:dyDescent="0.25">
      <c r="A28" s="6" t="s">
        <v>63</v>
      </c>
      <c r="B28" s="6">
        <v>1.48</v>
      </c>
      <c r="C28" s="24">
        <v>1.48</v>
      </c>
      <c r="D28" s="6">
        <v>1.48</v>
      </c>
      <c r="E28" s="6">
        <v>1.48</v>
      </c>
      <c r="F28" s="6">
        <v>1.48</v>
      </c>
      <c r="G28" s="6">
        <v>1.48</v>
      </c>
      <c r="H28" s="6">
        <v>1.48</v>
      </c>
    </row>
    <row r="29" spans="1:8" x14ac:dyDescent="0.25">
      <c r="A29" s="3" t="s">
        <v>17</v>
      </c>
      <c r="B29" s="28">
        <f>SUM(C29:F29)</f>
        <v>259781</v>
      </c>
      <c r="C29" s="23">
        <v>223258</v>
      </c>
      <c r="D29" s="19">
        <v>8954</v>
      </c>
      <c r="E29" s="15">
        <v>8954</v>
      </c>
      <c r="F29" s="19">
        <v>18615</v>
      </c>
      <c r="G29" s="19" t="s">
        <v>115</v>
      </c>
      <c r="H29" s="6" t="s">
        <v>115</v>
      </c>
    </row>
    <row r="31" spans="1:8" x14ac:dyDescent="0.25">
      <c r="A31" s="6" t="s">
        <v>18</v>
      </c>
    </row>
    <row r="32" spans="1:8" x14ac:dyDescent="0.25">
      <c r="A32" s="6" t="s">
        <v>64</v>
      </c>
      <c r="B32" s="2">
        <f t="shared" ref="B32:F32" si="1">B16/B27</f>
        <v>6594583908.5714293</v>
      </c>
      <c r="C32" s="23">
        <f t="shared" si="1"/>
        <v>5034692142.8571434</v>
      </c>
      <c r="D32" s="2">
        <f t="shared" si="1"/>
        <v>463517142.85714287</v>
      </c>
      <c r="E32" s="2">
        <f t="shared" si="1"/>
        <v>393257142.85714287</v>
      </c>
      <c r="F32" s="2">
        <f t="shared" si="1"/>
        <v>500960337.14285719</v>
      </c>
      <c r="G32" s="2">
        <f>G16/G27</f>
        <v>202157142.85714287</v>
      </c>
      <c r="H32" s="2">
        <f>H16/H27</f>
        <v>0</v>
      </c>
    </row>
    <row r="33" spans="1:8" x14ac:dyDescent="0.25">
      <c r="A33" s="6" t="s">
        <v>65</v>
      </c>
      <c r="B33" s="2">
        <f t="shared" ref="B33:F33" si="2">B18/B28</f>
        <v>2495822088.1486487</v>
      </c>
      <c r="C33" s="23">
        <f t="shared" si="2"/>
        <v>1944532432.4324324</v>
      </c>
      <c r="D33" s="2">
        <f t="shared" si="2"/>
        <v>206779729.72972974</v>
      </c>
      <c r="E33" s="2">
        <f t="shared" si="2"/>
        <v>112000000</v>
      </c>
      <c r="F33" s="2">
        <f t="shared" si="2"/>
        <v>157915331.39189205</v>
      </c>
      <c r="G33" s="2">
        <f>G18/G28</f>
        <v>74594594.594594598</v>
      </c>
      <c r="H33" s="2">
        <f>H18/H28</f>
        <v>0</v>
      </c>
    </row>
    <row r="34" spans="1:8" x14ac:dyDescent="0.25">
      <c r="A34" s="6" t="s">
        <v>66</v>
      </c>
      <c r="B34" s="2">
        <f t="shared" ref="B34:F34" si="3">B32/B10</f>
        <v>83634.309742159341</v>
      </c>
      <c r="C34" s="23">
        <f t="shared" si="3"/>
        <v>70714.28571428571</v>
      </c>
      <c r="D34" s="2">
        <f t="shared" si="3"/>
        <v>109285.71428571429</v>
      </c>
      <c r="E34" s="2">
        <f t="shared" si="3"/>
        <v>257142.85714285716</v>
      </c>
      <c r="F34" s="2">
        <f t="shared" si="3"/>
        <v>368956.05845218612</v>
      </c>
      <c r="G34" s="2">
        <f>G32/G10</f>
        <v>385714.28571428574</v>
      </c>
      <c r="H34" s="2" t="e">
        <f>H32/H10</f>
        <v>#DIV/0!</v>
      </c>
    </row>
    <row r="35" spans="1:8" x14ac:dyDescent="0.25">
      <c r="A35" s="6" t="s">
        <v>67</v>
      </c>
      <c r="B35" s="2">
        <f>B33/B12</f>
        <v>25937.176375138813</v>
      </c>
      <c r="C35" s="23">
        <f>C33/C12</f>
        <v>22297.297297297297</v>
      </c>
      <c r="D35" s="2">
        <f>D33/D12</f>
        <v>34459.45945945946</v>
      </c>
      <c r="E35" s="2">
        <f>E33/E12</f>
        <v>81081.08108108108</v>
      </c>
      <c r="F35" s="2">
        <f t="shared" ref="F35:H35" si="4">F33/F12</f>
        <v>154667.31771977674</v>
      </c>
      <c r="G35" s="2">
        <f t="shared" si="4"/>
        <v>121621.62162162161</v>
      </c>
      <c r="H35" s="2" t="e">
        <f t="shared" si="4"/>
        <v>#DIV/0!</v>
      </c>
    </row>
    <row r="37" spans="1:8" x14ac:dyDescent="0.25">
      <c r="A37" s="9" t="s">
        <v>23</v>
      </c>
    </row>
    <row r="39" spans="1:8" x14ac:dyDescent="0.25">
      <c r="A39" s="6" t="s">
        <v>24</v>
      </c>
    </row>
    <row r="40" spans="1:8" x14ac:dyDescent="0.25">
      <c r="A40" s="6" t="s">
        <v>25</v>
      </c>
      <c r="B40" s="25">
        <f>(B11/B29)*100</f>
        <v>33.638333827339181</v>
      </c>
      <c r="C40" s="25">
        <f>(C11/C29)*100</f>
        <v>34.505370468247499</v>
      </c>
      <c r="D40" s="25">
        <f t="shared" ref="D40:H40" si="5">(D11/D29)*100</f>
        <v>55.840964931874026</v>
      </c>
      <c r="E40" s="25">
        <f t="shared" si="5"/>
        <v>25.686843868662052</v>
      </c>
      <c r="F40" s="25">
        <f t="shared" si="5"/>
        <v>11.281224818694602</v>
      </c>
      <c r="G40" s="25" t="e">
        <f t="shared" si="5"/>
        <v>#VALUE!</v>
      </c>
      <c r="H40" s="25" t="e">
        <f t="shared" si="5"/>
        <v>#VALUE!</v>
      </c>
    </row>
    <row r="41" spans="1:8" x14ac:dyDescent="0.25">
      <c r="A41" s="6" t="s">
        <v>26</v>
      </c>
      <c r="B41" s="25">
        <f>(B12/B29)*100</f>
        <v>37.041071774558823</v>
      </c>
      <c r="C41" s="25">
        <f>(C12/C29)*100</f>
        <v>39.062131405518876</v>
      </c>
      <c r="D41" s="25">
        <f t="shared" ref="D41:H41" si="6">(D12/D29)*100</f>
        <v>67.016603380239744</v>
      </c>
      <c r="E41" s="25">
        <f t="shared" si="6"/>
        <v>15.426997245179063</v>
      </c>
      <c r="F41" s="25">
        <f t="shared" si="6"/>
        <v>5.484824066612946</v>
      </c>
      <c r="G41" s="25" t="e">
        <f t="shared" si="6"/>
        <v>#VALUE!</v>
      </c>
      <c r="H41" s="25" t="e">
        <f t="shared" si="6"/>
        <v>#VALUE!</v>
      </c>
    </row>
    <row r="43" spans="1:8" x14ac:dyDescent="0.25">
      <c r="A43" s="6" t="s">
        <v>27</v>
      </c>
    </row>
    <row r="44" spans="1:8" x14ac:dyDescent="0.25">
      <c r="A44" s="6" t="s">
        <v>28</v>
      </c>
      <c r="B44" s="4">
        <f t="shared" ref="B44:F44" si="7">B12/B11*100</f>
        <v>110.11565544442664</v>
      </c>
      <c r="C44" s="25">
        <f t="shared" si="7"/>
        <v>113.20594700313274</v>
      </c>
      <c r="D44" s="4">
        <f t="shared" si="7"/>
        <v>120.01333333333335</v>
      </c>
      <c r="E44" s="4">
        <f t="shared" si="7"/>
        <v>60.05797101449275</v>
      </c>
      <c r="F44" s="4">
        <f t="shared" si="7"/>
        <v>48.61904761904762</v>
      </c>
      <c r="G44" s="4">
        <f>G12/G11*100</f>
        <v>87.619047619047635</v>
      </c>
      <c r="H44" s="4">
        <f>H12/H11*100</f>
        <v>0</v>
      </c>
    </row>
    <row r="45" spans="1:8" x14ac:dyDescent="0.25">
      <c r="A45" s="6" t="s">
        <v>29</v>
      </c>
      <c r="B45" s="4">
        <f t="shared" ref="B45:F45" si="8">B18/B17*100</f>
        <v>98.112585408468362</v>
      </c>
      <c r="C45" s="25">
        <f t="shared" si="8"/>
        <v>113.20594700313274</v>
      </c>
      <c r="D45" s="4">
        <f t="shared" si="8"/>
        <v>120.01333333333332</v>
      </c>
      <c r="E45" s="4">
        <f t="shared" si="8"/>
        <v>60.05797101449275</v>
      </c>
      <c r="F45" s="4">
        <f t="shared" si="8"/>
        <v>57.073184483516535</v>
      </c>
      <c r="G45" s="4">
        <f>G18/G17*100</f>
        <v>87.61904761904762</v>
      </c>
      <c r="H45" s="4">
        <f>H18/H17*100</f>
        <v>0</v>
      </c>
    </row>
    <row r="46" spans="1:8" x14ac:dyDescent="0.25">
      <c r="A46" s="6" t="s">
        <v>30</v>
      </c>
      <c r="B46" s="4">
        <f t="shared" ref="B46:F46" si="9">AVERAGE(B44:B45)</f>
        <v>104.1141204264475</v>
      </c>
      <c r="C46" s="25">
        <f t="shared" si="9"/>
        <v>113.20594700313274</v>
      </c>
      <c r="D46" s="4">
        <f t="shared" si="9"/>
        <v>120.01333333333334</v>
      </c>
      <c r="E46" s="4">
        <f t="shared" si="9"/>
        <v>60.05797101449275</v>
      </c>
      <c r="F46" s="4">
        <f t="shared" si="9"/>
        <v>52.846116051282081</v>
      </c>
      <c r="G46" s="4">
        <f>AVERAGE(G44:G45)</f>
        <v>87.61904761904762</v>
      </c>
      <c r="H46" s="4">
        <f>AVERAGE(H44:H45)</f>
        <v>0</v>
      </c>
    </row>
    <row r="47" spans="1:8" x14ac:dyDescent="0.25">
      <c r="B47" s="1"/>
      <c r="C47" s="1"/>
      <c r="D47" s="1"/>
    </row>
    <row r="48" spans="1:8" x14ac:dyDescent="0.25">
      <c r="A48" s="6" t="s">
        <v>31</v>
      </c>
    </row>
    <row r="49" spans="1:8" x14ac:dyDescent="0.25">
      <c r="A49" s="6" t="s">
        <v>32</v>
      </c>
      <c r="B49" s="4">
        <f t="shared" ref="B49:F49" si="10">B12/B13*100</f>
        <v>109.92706803207443</v>
      </c>
      <c r="C49" s="25">
        <f t="shared" si="10"/>
        <v>113.20594700313274</v>
      </c>
      <c r="D49" s="4">
        <f t="shared" si="10"/>
        <v>120.01533358889314</v>
      </c>
      <c r="E49" s="4">
        <f t="shared" si="10"/>
        <v>60.05797101449275</v>
      </c>
      <c r="F49" s="4">
        <f t="shared" si="10"/>
        <v>48.61904761904762</v>
      </c>
      <c r="G49" s="4">
        <f>G12/G13*100</f>
        <v>87.619047619047635</v>
      </c>
      <c r="H49" s="4">
        <f>H12/H13*100</f>
        <v>0</v>
      </c>
    </row>
    <row r="50" spans="1:8" x14ac:dyDescent="0.25">
      <c r="A50" s="6" t="s">
        <v>33</v>
      </c>
      <c r="B50" s="4">
        <f t="shared" ref="B50:F50" si="11">B18/B19*100</f>
        <v>24.76789799397562</v>
      </c>
      <c r="C50" s="25">
        <f t="shared" si="11"/>
        <v>28.301486750783184</v>
      </c>
      <c r="D50" s="4">
        <f t="shared" si="11"/>
        <v>30.00333333333333</v>
      </c>
      <c r="E50" s="4">
        <f t="shared" si="11"/>
        <v>15.014492753623188</v>
      </c>
      <c r="F50" s="4">
        <f t="shared" si="11"/>
        <v>14.268296120879134</v>
      </c>
      <c r="G50" s="4">
        <f>G18/G19*100</f>
        <v>21.904761904761905</v>
      </c>
      <c r="H50" s="4">
        <f>H18/H19*100</f>
        <v>0</v>
      </c>
    </row>
    <row r="51" spans="1:8" x14ac:dyDescent="0.25">
      <c r="A51" s="6" t="s">
        <v>34</v>
      </c>
      <c r="B51" s="4">
        <f t="shared" ref="B51:F51" si="12">(B49+B50)/2</f>
        <v>67.347483013025027</v>
      </c>
      <c r="C51" s="25">
        <f t="shared" si="12"/>
        <v>70.753716876957952</v>
      </c>
      <c r="D51" s="4">
        <f t="shared" si="12"/>
        <v>75.009333461113243</v>
      </c>
      <c r="E51" s="4">
        <f t="shared" si="12"/>
        <v>37.536231884057969</v>
      </c>
      <c r="F51" s="4">
        <f t="shared" si="12"/>
        <v>31.443671869963378</v>
      </c>
      <c r="G51" s="4">
        <f>(G49+G50)/2</f>
        <v>54.761904761904773</v>
      </c>
      <c r="H51" s="4">
        <f>(H49+H50)/2</f>
        <v>0</v>
      </c>
    </row>
    <row r="53" spans="1:8" x14ac:dyDescent="0.25">
      <c r="A53" s="6" t="s">
        <v>35</v>
      </c>
      <c r="B53" s="4">
        <f>B20/B18*100</f>
        <v>100</v>
      </c>
      <c r="C53" s="25">
        <f>C20/C18*100</f>
        <v>100</v>
      </c>
      <c r="D53" s="4">
        <f>D20/D18*100</f>
        <v>100</v>
      </c>
      <c r="E53" s="4">
        <f>E20/E18*100</f>
        <v>100</v>
      </c>
      <c r="F53" s="11" t="s">
        <v>98</v>
      </c>
    </row>
    <row r="55" spans="1:8" x14ac:dyDescent="0.25">
      <c r="A55" s="6" t="s">
        <v>36</v>
      </c>
    </row>
    <row r="56" spans="1:8" x14ac:dyDescent="0.25">
      <c r="A56" s="6" t="s">
        <v>37</v>
      </c>
      <c r="B56" s="4">
        <f t="shared" ref="B56:F56" si="13">((B12/B10)-1)*100</f>
        <v>22.036012017157702</v>
      </c>
      <c r="C56" s="25">
        <f t="shared" si="13"/>
        <v>22.489032880291006</v>
      </c>
      <c r="D56" s="4">
        <f t="shared" si="13"/>
        <v>41.480666457088986</v>
      </c>
      <c r="E56" s="4">
        <f t="shared" si="13"/>
        <v>-9.6774193548387117</v>
      </c>
      <c r="F56" s="4">
        <f t="shared" si="13"/>
        <v>-24.803600654664493</v>
      </c>
      <c r="G56" s="4">
        <f>((G12/G10)-1)*100</f>
        <v>17.023531905872382</v>
      </c>
      <c r="H56" s="4" t="e">
        <f>((H12/H10)-1)*100</f>
        <v>#DIV/0!</v>
      </c>
    </row>
    <row r="57" spans="1:8" x14ac:dyDescent="0.25">
      <c r="A57" s="6" t="s">
        <v>38</v>
      </c>
      <c r="B57" s="4">
        <f t="shared" ref="B57:H57" si="14">((B33/B32)-1)*100</f>
        <v>-62.153456188423675</v>
      </c>
      <c r="C57" s="25">
        <f t="shared" si="14"/>
        <v>-61.377331974683017</v>
      </c>
      <c r="D57" s="4">
        <f t="shared" si="14"/>
        <v>-55.388979045062037</v>
      </c>
      <c r="E57" s="4">
        <f t="shared" si="14"/>
        <v>-71.519907003777973</v>
      </c>
      <c r="F57" s="4">
        <f t="shared" si="14"/>
        <v>-68.477478218627951</v>
      </c>
      <c r="G57" s="4">
        <f t="shared" si="14"/>
        <v>-63.100688137787998</v>
      </c>
      <c r="H57" s="4" t="e">
        <f t="shared" si="14"/>
        <v>#DIV/0!</v>
      </c>
    </row>
    <row r="58" spans="1:8" x14ac:dyDescent="0.25">
      <c r="A58" s="6" t="s">
        <v>39</v>
      </c>
      <c r="B58" s="4">
        <f t="shared" ref="B58:F58" si="15">((B35/B34)-1)*100</f>
        <v>-68.98739709205239</v>
      </c>
      <c r="C58" s="25">
        <f t="shared" si="15"/>
        <v>-68.468468468468473</v>
      </c>
      <c r="D58" s="4">
        <f t="shared" si="15"/>
        <v>-68.468468468468473</v>
      </c>
      <c r="E58" s="4">
        <f t="shared" si="15"/>
        <v>-68.468468468468473</v>
      </c>
      <c r="F58" s="4">
        <f t="shared" si="15"/>
        <v>-58.07974576467879</v>
      </c>
      <c r="G58" s="4">
        <f>((G35/G34)-1)*100</f>
        <v>-68.468468468468473</v>
      </c>
      <c r="H58" s="4" t="e">
        <f>((H35/H34)-1)*100</f>
        <v>#DIV/0!</v>
      </c>
    </row>
    <row r="59" spans="1:8" x14ac:dyDescent="0.25">
      <c r="B59" s="1"/>
      <c r="C59" s="1"/>
      <c r="D59" s="1"/>
    </row>
    <row r="60" spans="1:8" x14ac:dyDescent="0.25">
      <c r="A60" s="6" t="s">
        <v>40</v>
      </c>
    </row>
    <row r="61" spans="1:8" x14ac:dyDescent="0.25">
      <c r="A61" s="6" t="s">
        <v>106</v>
      </c>
      <c r="B61" s="2">
        <f>B17/(B11*3)</f>
        <v>14361.093310141212</v>
      </c>
      <c r="C61" s="23">
        <f t="shared" ref="C61:G61" si="16">C17/(C11*3)</f>
        <v>11000</v>
      </c>
      <c r="D61" s="2">
        <f t="shared" si="16"/>
        <v>17000</v>
      </c>
      <c r="E61" s="2">
        <f t="shared" si="16"/>
        <v>40000</v>
      </c>
      <c r="F61" s="2">
        <f t="shared" si="16"/>
        <v>65000</v>
      </c>
      <c r="G61" s="2">
        <f t="shared" si="16"/>
        <v>60000</v>
      </c>
      <c r="H61" s="2">
        <f>H17/(H11*3)</f>
        <v>208250</v>
      </c>
    </row>
    <row r="62" spans="1:8" x14ac:dyDescent="0.25">
      <c r="A62" s="6" t="s">
        <v>107</v>
      </c>
      <c r="B62" s="2">
        <f>B18/(B12*3)</f>
        <v>12795.673678401812</v>
      </c>
      <c r="C62" s="23">
        <f t="shared" ref="C62:H62" si="17">C18/(C12*3)</f>
        <v>11000</v>
      </c>
      <c r="D62" s="2">
        <f t="shared" si="17"/>
        <v>17000</v>
      </c>
      <c r="E62" s="2">
        <f t="shared" si="17"/>
        <v>40000</v>
      </c>
      <c r="F62" s="2">
        <f t="shared" si="17"/>
        <v>76302.543408423182</v>
      </c>
      <c r="G62" s="2">
        <f t="shared" si="17"/>
        <v>60000</v>
      </c>
      <c r="H62" s="2" t="e">
        <f t="shared" si="17"/>
        <v>#DIV/0!</v>
      </c>
    </row>
    <row r="63" spans="1:8" x14ac:dyDescent="0.25">
      <c r="A63" s="6" t="s">
        <v>41</v>
      </c>
      <c r="B63" s="4">
        <f t="shared" ref="B63:H63" si="18">(B61/B62)*B46</f>
        <v>116.85141680904779</v>
      </c>
      <c r="C63" s="25">
        <f t="shared" si="18"/>
        <v>113.20594700313274</v>
      </c>
      <c r="D63" s="4">
        <f t="shared" si="18"/>
        <v>120.01333333333334</v>
      </c>
      <c r="E63" s="4">
        <f t="shared" si="18"/>
        <v>60.05797101449275</v>
      </c>
      <c r="F63" s="4">
        <f t="shared" si="18"/>
        <v>45.018126393859362</v>
      </c>
      <c r="G63" s="4">
        <f t="shared" si="18"/>
        <v>87.61904761904762</v>
      </c>
      <c r="H63" s="4" t="e">
        <f t="shared" si="18"/>
        <v>#DIV/0!</v>
      </c>
    </row>
    <row r="64" spans="1:8" x14ac:dyDescent="0.25">
      <c r="A64" s="6" t="s">
        <v>123</v>
      </c>
      <c r="B64" s="2">
        <f>B17/B11</f>
        <v>43083.27993042364</v>
      </c>
      <c r="C64" s="2">
        <f t="shared" ref="C64:H64" si="19">C17/C11</f>
        <v>33000</v>
      </c>
      <c r="D64" s="2">
        <f t="shared" si="19"/>
        <v>51000</v>
      </c>
      <c r="E64" s="2">
        <f t="shared" si="19"/>
        <v>120000</v>
      </c>
      <c r="F64" s="2">
        <f t="shared" si="19"/>
        <v>195000</v>
      </c>
      <c r="G64" s="2">
        <f t="shared" si="19"/>
        <v>180000</v>
      </c>
      <c r="H64" s="2">
        <f t="shared" si="19"/>
        <v>624750</v>
      </c>
    </row>
    <row r="65" spans="1:8" x14ac:dyDescent="0.25">
      <c r="A65" s="6" t="s">
        <v>124</v>
      </c>
      <c r="B65" s="2">
        <f>B18/B12</f>
        <v>38387.021035205442</v>
      </c>
      <c r="C65" s="2">
        <f t="shared" ref="C65:H65" si="20">C18/C12</f>
        <v>33000</v>
      </c>
      <c r="D65" s="2">
        <f t="shared" si="20"/>
        <v>51000</v>
      </c>
      <c r="E65" s="2">
        <f t="shared" si="20"/>
        <v>120000</v>
      </c>
      <c r="F65" s="2">
        <f t="shared" si="20"/>
        <v>228907.63022526956</v>
      </c>
      <c r="G65" s="2">
        <f t="shared" si="20"/>
        <v>180000</v>
      </c>
      <c r="H65" s="2" t="e">
        <f t="shared" si="20"/>
        <v>#DIV/0!</v>
      </c>
    </row>
    <row r="66" spans="1:8" x14ac:dyDescent="0.25">
      <c r="B66" s="1"/>
      <c r="C66" s="1"/>
      <c r="D66" s="1"/>
    </row>
    <row r="67" spans="1:8" x14ac:dyDescent="0.25">
      <c r="A67" s="6" t="s">
        <v>42</v>
      </c>
      <c r="B67" s="1"/>
      <c r="C67" s="1"/>
      <c r="D67" s="1"/>
    </row>
    <row r="68" spans="1:8" x14ac:dyDescent="0.25">
      <c r="A68" s="6" t="s">
        <v>43</v>
      </c>
      <c r="B68" s="4">
        <f>(B24/B23)*100</f>
        <v>71.002020238385043</v>
      </c>
      <c r="C68" s="4"/>
      <c r="D68" s="4"/>
      <c r="E68" s="4"/>
      <c r="F68" s="4"/>
    </row>
    <row r="69" spans="1:8" x14ac:dyDescent="0.25">
      <c r="A69" s="6" t="s">
        <v>44</v>
      </c>
      <c r="B69" s="4">
        <f>(B18/B24)*100</f>
        <v>138.18280814976984</v>
      </c>
      <c r="C69" s="4"/>
      <c r="D69" s="4"/>
      <c r="E69" s="4"/>
      <c r="F69" s="4"/>
    </row>
    <row r="70" spans="1:8" ht="15.75" thickBot="1" x14ac:dyDescent="0.3">
      <c r="A70" s="12"/>
      <c r="B70" s="12"/>
      <c r="C70" s="12"/>
      <c r="D70" s="12"/>
      <c r="E70" s="12"/>
      <c r="F70" s="12"/>
      <c r="G70" s="12"/>
      <c r="H70" s="12"/>
    </row>
    <row r="71" spans="1:8" ht="15.75" thickTop="1" x14ac:dyDescent="0.25"/>
    <row r="72" spans="1:8" x14ac:dyDescent="0.25">
      <c r="A72" s="13" t="s">
        <v>101</v>
      </c>
    </row>
    <row r="73" spans="1:8" x14ac:dyDescent="0.25">
      <c r="A73" s="18" t="s">
        <v>105</v>
      </c>
    </row>
    <row r="74" spans="1:8" x14ac:dyDescent="0.25">
      <c r="A74" s="6" t="s">
        <v>102</v>
      </c>
      <c r="B74" s="14"/>
      <c r="C74" s="14"/>
    </row>
    <row r="75" spans="1:8" x14ac:dyDescent="0.25">
      <c r="A75" s="6" t="s">
        <v>103</v>
      </c>
    </row>
    <row r="76" spans="1:8" x14ac:dyDescent="0.25">
      <c r="A76" s="6" t="s">
        <v>104</v>
      </c>
    </row>
    <row r="78" spans="1:8" x14ac:dyDescent="0.25">
      <c r="A78" s="9" t="s">
        <v>116</v>
      </c>
    </row>
    <row r="79" spans="1:8" x14ac:dyDescent="0.25">
      <c r="A79" s="6" t="s">
        <v>117</v>
      </c>
    </row>
    <row r="80" spans="1:8" x14ac:dyDescent="0.25">
      <c r="A80" s="29" t="s">
        <v>118</v>
      </c>
    </row>
    <row r="81" spans="1:1" x14ac:dyDescent="0.25">
      <c r="A81" s="29" t="s">
        <v>119</v>
      </c>
    </row>
    <row r="82" spans="1:1" x14ac:dyDescent="0.25">
      <c r="A82" s="29" t="s">
        <v>120</v>
      </c>
    </row>
    <row r="83" spans="1:1" x14ac:dyDescent="0.25">
      <c r="A83" s="29" t="s">
        <v>121</v>
      </c>
    </row>
    <row r="84" spans="1:1" x14ac:dyDescent="0.25">
      <c r="A84" s="29" t="s">
        <v>122</v>
      </c>
    </row>
  </sheetData>
  <mergeCells count="4">
    <mergeCell ref="A4:A5"/>
    <mergeCell ref="B4:B5"/>
    <mergeCell ref="A2:G2"/>
    <mergeCell ref="C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4"/>
  <sheetViews>
    <sheetView zoomScale="90" zoomScaleNormal="90" workbookViewId="0">
      <selection activeCell="H19" sqref="H19"/>
    </sheetView>
  </sheetViews>
  <sheetFormatPr baseColWidth="10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5" width="16.28515625" style="6" bestFit="1" customWidth="1"/>
    <col min="6" max="6" width="17" style="6" bestFit="1" customWidth="1"/>
    <col min="7" max="7" width="15" style="6" bestFit="1" customWidth="1"/>
    <col min="8" max="8" width="15.140625" style="6" bestFit="1" customWidth="1"/>
    <col min="9" max="16384" width="11.42578125" style="6"/>
  </cols>
  <sheetData>
    <row r="2" spans="1:8" ht="15.75" x14ac:dyDescent="0.25">
      <c r="A2" s="57" t="s">
        <v>111</v>
      </c>
      <c r="B2" s="57"/>
      <c r="C2" s="57"/>
      <c r="D2" s="57"/>
      <c r="E2" s="57"/>
      <c r="F2" s="57"/>
      <c r="G2" s="57"/>
    </row>
    <row r="4" spans="1:8" x14ac:dyDescent="0.25">
      <c r="A4" s="53" t="s">
        <v>0</v>
      </c>
      <c r="B4" s="55" t="s">
        <v>1</v>
      </c>
      <c r="C4" s="58" t="s">
        <v>2</v>
      </c>
      <c r="D4" s="58"/>
      <c r="E4" s="58"/>
      <c r="F4" s="58"/>
      <c r="G4" s="58"/>
      <c r="H4" s="58"/>
    </row>
    <row r="5" spans="1:8" ht="31.5" customHeight="1" thickBot="1" x14ac:dyDescent="0.3">
      <c r="A5" s="54"/>
      <c r="B5" s="56"/>
      <c r="C5" s="20" t="s">
        <v>100</v>
      </c>
      <c r="D5" s="7" t="s">
        <v>3</v>
      </c>
      <c r="E5" s="7" t="s">
        <v>4</v>
      </c>
      <c r="F5" s="8" t="s">
        <v>46</v>
      </c>
      <c r="G5" s="8" t="s">
        <v>45</v>
      </c>
      <c r="H5" s="27" t="s">
        <v>47</v>
      </c>
    </row>
    <row r="6" spans="1:8" ht="15.75" thickTop="1" x14ac:dyDescent="0.25"/>
    <row r="7" spans="1:8" x14ac:dyDescent="0.25">
      <c r="A7" s="9" t="s">
        <v>5</v>
      </c>
    </row>
    <row r="9" spans="1:8" x14ac:dyDescent="0.25">
      <c r="A9" s="6" t="s">
        <v>6</v>
      </c>
    </row>
    <row r="10" spans="1:8" x14ac:dyDescent="0.25">
      <c r="A10" s="3" t="s">
        <v>68</v>
      </c>
      <c r="B10" s="19">
        <f>SUM(C10:H10)</f>
        <v>107059</v>
      </c>
      <c r="C10" s="19">
        <f>281345/3</f>
        <v>93781.666666666672</v>
      </c>
      <c r="D10" s="19">
        <f>21648/3</f>
        <v>7216</v>
      </c>
      <c r="E10" s="19">
        <f>8982/3</f>
        <v>2994</v>
      </c>
      <c r="F10" s="19">
        <f>6352/3</f>
        <v>2117.3333333333335</v>
      </c>
      <c r="G10" s="19">
        <f>2850/3</f>
        <v>950</v>
      </c>
      <c r="H10" s="19">
        <v>0</v>
      </c>
    </row>
    <row r="11" spans="1:8" x14ac:dyDescent="0.25">
      <c r="A11" s="3" t="s">
        <v>69</v>
      </c>
      <c r="B11" s="19">
        <f>SUM(C11:H11)</f>
        <v>87536</v>
      </c>
      <c r="C11" s="19">
        <f>1827+75209</f>
        <v>77036</v>
      </c>
      <c r="D11" s="19">
        <v>5000</v>
      </c>
      <c r="E11" s="19">
        <v>2300</v>
      </c>
      <c r="F11" s="19">
        <v>2100</v>
      </c>
      <c r="G11" s="19">
        <v>700</v>
      </c>
      <c r="H11" s="19">
        <v>400</v>
      </c>
    </row>
    <row r="12" spans="1:8" x14ac:dyDescent="0.25">
      <c r="A12" s="3" t="s">
        <v>70</v>
      </c>
      <c r="B12" s="19">
        <f>SUM(C12:H12)</f>
        <v>159482.66666666669</v>
      </c>
      <c r="C12" s="19">
        <f>422622/3</f>
        <v>140874</v>
      </c>
      <c r="D12" s="19">
        <f>35595/3</f>
        <v>11865</v>
      </c>
      <c r="E12" s="19">
        <f>8919/3</f>
        <v>2973</v>
      </c>
      <c r="F12" s="19">
        <f>7819/3</f>
        <v>2606.3333333333335</v>
      </c>
      <c r="G12" s="19">
        <f>3493/3</f>
        <v>1164.3333333333333</v>
      </c>
      <c r="H12" s="19">
        <v>0</v>
      </c>
    </row>
    <row r="13" spans="1:8" x14ac:dyDescent="0.25">
      <c r="A13" s="3" t="s">
        <v>10</v>
      </c>
      <c r="B13" s="19">
        <f>SUM(C13:H13)</f>
        <v>87535.916666666672</v>
      </c>
      <c r="C13" s="19">
        <f>1827+75209</f>
        <v>77036</v>
      </c>
      <c r="D13" s="19">
        <f>59999/12</f>
        <v>4999.916666666667</v>
      </c>
      <c r="E13" s="19">
        <f>27600/12</f>
        <v>2300</v>
      </c>
      <c r="F13" s="19">
        <f>25200/12</f>
        <v>2100</v>
      </c>
      <c r="G13" s="19">
        <f>8400/12</f>
        <v>700</v>
      </c>
      <c r="H13" s="19">
        <v>400</v>
      </c>
    </row>
    <row r="14" spans="1:8" x14ac:dyDescent="0.25">
      <c r="C14" s="10"/>
    </row>
    <row r="15" spans="1:8" x14ac:dyDescent="0.25">
      <c r="A15" s="5" t="s">
        <v>11</v>
      </c>
    </row>
    <row r="16" spans="1:8" x14ac:dyDescent="0.25">
      <c r="A16" s="3" t="s">
        <v>68</v>
      </c>
      <c r="B16" s="2">
        <f>SUM(C16:H16)</f>
        <v>4358548396</v>
      </c>
      <c r="C16" s="19">
        <v>3094795000</v>
      </c>
      <c r="D16" s="2">
        <v>368016000</v>
      </c>
      <c r="E16" s="2">
        <v>359280000</v>
      </c>
      <c r="F16" s="2">
        <v>365457396</v>
      </c>
      <c r="G16" s="2">
        <v>171000000</v>
      </c>
      <c r="H16" s="2">
        <v>0</v>
      </c>
    </row>
    <row r="17" spans="1:8" x14ac:dyDescent="0.25">
      <c r="A17" s="3" t="s">
        <v>69</v>
      </c>
      <c r="B17" s="2">
        <f>SUM(C17:H17)</f>
        <v>3858588000</v>
      </c>
      <c r="C17" s="19">
        <f>60291000+2481897000</f>
        <v>2542188000</v>
      </c>
      <c r="D17" s="2">
        <v>255000000</v>
      </c>
      <c r="E17" s="2">
        <v>276000000</v>
      </c>
      <c r="F17" s="2">
        <v>409500000</v>
      </c>
      <c r="G17" s="2">
        <v>126000000</v>
      </c>
      <c r="H17" s="2">
        <v>249900000</v>
      </c>
    </row>
    <row r="18" spans="1:8" x14ac:dyDescent="0.25">
      <c r="A18" s="3" t="s">
        <v>70</v>
      </c>
      <c r="B18" s="2">
        <f>SUM(C18:H18)</f>
        <v>6426477422.1000004</v>
      </c>
      <c r="C18" s="19">
        <v>4648842000</v>
      </c>
      <c r="D18" s="2">
        <v>605115000</v>
      </c>
      <c r="E18" s="2">
        <v>356760000</v>
      </c>
      <c r="F18" s="2">
        <v>606180422.10000086</v>
      </c>
      <c r="G18" s="17">
        <v>209580000</v>
      </c>
      <c r="H18" s="17">
        <v>0</v>
      </c>
    </row>
    <row r="19" spans="1:8" x14ac:dyDescent="0.25">
      <c r="A19" s="3" t="s">
        <v>10</v>
      </c>
      <c r="B19" s="2">
        <f>SUM(C19:H19)</f>
        <v>14913727000</v>
      </c>
      <c r="C19" s="19">
        <f>241164000+9927588000</f>
        <v>10168752000</v>
      </c>
      <c r="D19" s="2">
        <v>1020000000</v>
      </c>
      <c r="E19" s="2">
        <v>1104000000</v>
      </c>
      <c r="F19" s="2">
        <v>1638000000</v>
      </c>
      <c r="G19" s="2">
        <v>504000000</v>
      </c>
      <c r="H19" s="2">
        <v>478975000</v>
      </c>
    </row>
    <row r="20" spans="1:8" x14ac:dyDescent="0.25">
      <c r="A20" s="3" t="s">
        <v>71</v>
      </c>
      <c r="B20" s="2">
        <f>SUM(C20:H20)</f>
        <v>6426477422.1000004</v>
      </c>
      <c r="C20" s="19">
        <f>C18</f>
        <v>4648842000</v>
      </c>
      <c r="D20" s="2">
        <f>D18</f>
        <v>605115000</v>
      </c>
      <c r="E20" s="2">
        <f t="shared" ref="E20:H20" si="0">E18</f>
        <v>356760000</v>
      </c>
      <c r="F20" s="2">
        <f t="shared" si="0"/>
        <v>606180422.10000086</v>
      </c>
      <c r="G20" s="2">
        <f t="shared" si="0"/>
        <v>209580000</v>
      </c>
      <c r="H20" s="2">
        <f t="shared" si="0"/>
        <v>0</v>
      </c>
    </row>
    <row r="21" spans="1:8" x14ac:dyDescent="0.25">
      <c r="B21" s="2"/>
      <c r="C21" s="2"/>
      <c r="D21" s="2"/>
      <c r="E21" s="2"/>
      <c r="F21" s="2"/>
      <c r="G21" s="2"/>
      <c r="H21" s="2"/>
    </row>
    <row r="22" spans="1:8" x14ac:dyDescent="0.25">
      <c r="A22" s="5" t="s">
        <v>13</v>
      </c>
      <c r="B22" s="2"/>
      <c r="C22" s="2"/>
      <c r="D22" s="2"/>
      <c r="E22" s="2"/>
      <c r="F22" s="2"/>
      <c r="G22" s="2"/>
      <c r="H22" s="2"/>
    </row>
    <row r="23" spans="1:8" x14ac:dyDescent="0.25">
      <c r="A23" s="3" t="s">
        <v>69</v>
      </c>
      <c r="B23" s="2">
        <f>B17</f>
        <v>3858588000</v>
      </c>
      <c r="C23" s="2"/>
      <c r="D23" s="2"/>
      <c r="E23" s="2"/>
      <c r="F23" s="2"/>
      <c r="G23" s="2"/>
      <c r="H23" s="2"/>
    </row>
    <row r="24" spans="1:8" x14ac:dyDescent="0.25">
      <c r="A24" s="3" t="s">
        <v>70</v>
      </c>
      <c r="B24" s="2">
        <v>5122237509.1900005</v>
      </c>
      <c r="C24" s="2"/>
      <c r="D24" s="2"/>
      <c r="E24" s="2"/>
      <c r="F24" s="2"/>
      <c r="G24" s="2"/>
      <c r="H24" s="2"/>
    </row>
    <row r="26" spans="1:8" x14ac:dyDescent="0.25">
      <c r="A26" s="6" t="s">
        <v>14</v>
      </c>
    </row>
    <row r="27" spans="1:8" x14ac:dyDescent="0.25">
      <c r="A27" s="6" t="s">
        <v>72</v>
      </c>
      <c r="B27" s="6">
        <v>1.42</v>
      </c>
      <c r="C27" s="22">
        <v>1.42</v>
      </c>
      <c r="D27" s="6">
        <v>1.42</v>
      </c>
      <c r="E27" s="6">
        <v>1.42</v>
      </c>
      <c r="F27" s="6">
        <v>1.42</v>
      </c>
      <c r="G27" s="6">
        <v>1.42</v>
      </c>
      <c r="H27" s="6">
        <v>1.42</v>
      </c>
    </row>
    <row r="28" spans="1:8" x14ac:dyDescent="0.25">
      <c r="A28" s="6" t="s">
        <v>73</v>
      </c>
      <c r="B28" s="6">
        <v>1.49</v>
      </c>
      <c r="C28" s="22">
        <v>1.49</v>
      </c>
      <c r="D28" s="6">
        <v>1.49</v>
      </c>
      <c r="E28" s="6">
        <v>1.49</v>
      </c>
      <c r="F28" s="6">
        <v>1.49</v>
      </c>
      <c r="G28" s="6">
        <v>1.49</v>
      </c>
      <c r="H28" s="6">
        <v>1.49</v>
      </c>
    </row>
    <row r="29" spans="1:8" x14ac:dyDescent="0.25">
      <c r="A29" s="3" t="s">
        <v>17</v>
      </c>
      <c r="B29" s="28">
        <f>SUM(C29:F29)</f>
        <v>259781</v>
      </c>
      <c r="C29" s="23">
        <v>223258</v>
      </c>
      <c r="D29" s="19">
        <v>8954</v>
      </c>
      <c r="E29" s="15">
        <v>8954</v>
      </c>
      <c r="F29" s="19">
        <v>18615</v>
      </c>
      <c r="G29" s="19" t="s">
        <v>115</v>
      </c>
      <c r="H29" s="6" t="s">
        <v>115</v>
      </c>
    </row>
    <row r="31" spans="1:8" x14ac:dyDescent="0.25">
      <c r="A31" s="6" t="s">
        <v>18</v>
      </c>
    </row>
    <row r="32" spans="1:8" x14ac:dyDescent="0.25">
      <c r="A32" s="6" t="s">
        <v>74</v>
      </c>
      <c r="B32" s="2">
        <f t="shared" ref="B32:F32" si="1">B16/B27</f>
        <v>3069400278.8732395</v>
      </c>
      <c r="C32" s="19">
        <f t="shared" si="1"/>
        <v>2179433098.5915494</v>
      </c>
      <c r="D32" s="2">
        <f t="shared" si="1"/>
        <v>259166197.18309861</v>
      </c>
      <c r="E32" s="2">
        <f t="shared" si="1"/>
        <v>253014084.50704226</v>
      </c>
      <c r="F32" s="2">
        <f t="shared" si="1"/>
        <v>257364363.38028172</v>
      </c>
      <c r="G32" s="2">
        <f>G16/G27</f>
        <v>120422535.21126761</v>
      </c>
      <c r="H32" s="2">
        <f>H16/H27</f>
        <v>0</v>
      </c>
    </row>
    <row r="33" spans="1:8" x14ac:dyDescent="0.25">
      <c r="A33" s="6" t="s">
        <v>75</v>
      </c>
      <c r="B33" s="2">
        <f t="shared" ref="B33:F33" si="2">B18/B28</f>
        <v>4313072095.3691282</v>
      </c>
      <c r="C33" s="19">
        <f t="shared" si="2"/>
        <v>3120028187.9194632</v>
      </c>
      <c r="D33" s="2">
        <f t="shared" si="2"/>
        <v>406117449.66442955</v>
      </c>
      <c r="E33" s="2">
        <f t="shared" si="2"/>
        <v>239436241.61073825</v>
      </c>
      <c r="F33" s="2">
        <f t="shared" si="2"/>
        <v>406832498.05369186</v>
      </c>
      <c r="G33" s="2">
        <f>G18/G28</f>
        <v>140657718.12080538</v>
      </c>
      <c r="H33" s="2">
        <f>H18/H28</f>
        <v>0</v>
      </c>
    </row>
    <row r="34" spans="1:8" x14ac:dyDescent="0.25">
      <c r="A34" s="6" t="s">
        <v>76</v>
      </c>
      <c r="B34" s="2">
        <f t="shared" ref="B34:F34" si="3">B32/B10</f>
        <v>28670.175126549282</v>
      </c>
      <c r="C34" s="19">
        <f t="shared" si="3"/>
        <v>23239.436619718308</v>
      </c>
      <c r="D34" s="2">
        <f t="shared" si="3"/>
        <v>35915.492957746479</v>
      </c>
      <c r="E34" s="2">
        <f t="shared" si="3"/>
        <v>84507.042253521126</v>
      </c>
      <c r="F34" s="2">
        <f t="shared" si="3"/>
        <v>121551.17917834462</v>
      </c>
      <c r="G34" s="2">
        <f>G32/G10</f>
        <v>126760.56338028169</v>
      </c>
      <c r="H34" s="2" t="e">
        <f>H32/H10</f>
        <v>#DIV/0!</v>
      </c>
    </row>
    <row r="35" spans="1:8" x14ac:dyDescent="0.25">
      <c r="A35" s="6" t="s">
        <v>77</v>
      </c>
      <c r="B35" s="2">
        <f>B33/B12</f>
        <v>27044.143326144917</v>
      </c>
      <c r="C35" s="19">
        <f>C33/C12</f>
        <v>22147.65100671141</v>
      </c>
      <c r="D35" s="2">
        <f>D33/D12</f>
        <v>34228.187919463089</v>
      </c>
      <c r="E35" s="2">
        <f>E33/E12</f>
        <v>80536.912751677854</v>
      </c>
      <c r="F35" s="2">
        <f t="shared" ref="F35:H35" si="4">F33/F12</f>
        <v>156093.80920336046</v>
      </c>
      <c r="G35" s="2">
        <f t="shared" si="4"/>
        <v>120805.36912751679</v>
      </c>
      <c r="H35" s="2" t="e">
        <f t="shared" si="4"/>
        <v>#DIV/0!</v>
      </c>
    </row>
    <row r="37" spans="1:8" x14ac:dyDescent="0.25">
      <c r="A37" s="9" t="s">
        <v>23</v>
      </c>
    </row>
    <row r="39" spans="1:8" x14ac:dyDescent="0.25">
      <c r="A39" s="6" t="s">
        <v>24</v>
      </c>
    </row>
    <row r="40" spans="1:8" x14ac:dyDescent="0.25">
      <c r="A40" s="6" t="s">
        <v>25</v>
      </c>
      <c r="B40" s="21">
        <f>(B11/B29)*100</f>
        <v>33.696074770672219</v>
      </c>
      <c r="C40" s="21">
        <f>(C11/C29)*100</f>
        <v>34.505370468247499</v>
      </c>
      <c r="D40" s="21">
        <f t="shared" ref="D40:H40" si="5">(D11/D29)*100</f>
        <v>55.840964931874026</v>
      </c>
      <c r="E40" s="21">
        <f t="shared" si="5"/>
        <v>25.686843868662052</v>
      </c>
      <c r="F40" s="21">
        <f t="shared" si="5"/>
        <v>11.281224818694602</v>
      </c>
      <c r="G40" s="21" t="e">
        <f t="shared" si="5"/>
        <v>#VALUE!</v>
      </c>
      <c r="H40" s="21" t="e">
        <f t="shared" si="5"/>
        <v>#VALUE!</v>
      </c>
    </row>
    <row r="41" spans="1:8" x14ac:dyDescent="0.25">
      <c r="A41" s="6" t="s">
        <v>26</v>
      </c>
      <c r="B41" s="21">
        <f>(B12/B29)*100</f>
        <v>61.391197457345491</v>
      </c>
      <c r="C41" s="21">
        <f>(C12/C29)*100</f>
        <v>63.099194653719017</v>
      </c>
      <c r="D41" s="21">
        <f t="shared" ref="D41:H41" si="6">(D12/D29)*100</f>
        <v>132.51060978333706</v>
      </c>
      <c r="E41" s="21">
        <f t="shared" si="6"/>
        <v>33.203037748492292</v>
      </c>
      <c r="F41" s="21">
        <f t="shared" si="6"/>
        <v>14.001253469424299</v>
      </c>
      <c r="G41" s="21" t="e">
        <f t="shared" si="6"/>
        <v>#VALUE!</v>
      </c>
      <c r="H41" s="21" t="e">
        <f t="shared" si="6"/>
        <v>#VALUE!</v>
      </c>
    </row>
    <row r="43" spans="1:8" x14ac:dyDescent="0.25">
      <c r="A43" s="6" t="s">
        <v>27</v>
      </c>
    </row>
    <row r="44" spans="1:8" x14ac:dyDescent="0.25">
      <c r="A44" s="6" t="s">
        <v>28</v>
      </c>
      <c r="B44" s="4">
        <f t="shared" ref="B44:F44" si="7">B12/B11*100</f>
        <v>182.19094620118202</v>
      </c>
      <c r="C44" s="21">
        <f t="shared" si="7"/>
        <v>182.86775014279038</v>
      </c>
      <c r="D44" s="4">
        <f t="shared" si="7"/>
        <v>237.3</v>
      </c>
      <c r="E44" s="4">
        <f t="shared" si="7"/>
        <v>129.26086956521738</v>
      </c>
      <c r="F44" s="4">
        <f t="shared" si="7"/>
        <v>124.11111111111113</v>
      </c>
      <c r="G44" s="4">
        <f>G12/G11*100</f>
        <v>166.33333333333334</v>
      </c>
      <c r="H44" s="4">
        <f>H12/H11*100</f>
        <v>0</v>
      </c>
    </row>
    <row r="45" spans="1:8" x14ac:dyDescent="0.25">
      <c r="A45" s="6" t="s">
        <v>29</v>
      </c>
      <c r="B45" s="4">
        <f t="shared" ref="B45:F45" si="8">B18/B17*100</f>
        <v>166.54997688532697</v>
      </c>
      <c r="C45" s="21">
        <f t="shared" si="8"/>
        <v>182.86775014279038</v>
      </c>
      <c r="D45" s="4">
        <f t="shared" si="8"/>
        <v>237.3</v>
      </c>
      <c r="E45" s="4">
        <f t="shared" si="8"/>
        <v>129.26086956521738</v>
      </c>
      <c r="F45" s="4">
        <f t="shared" si="8"/>
        <v>148.02940710622732</v>
      </c>
      <c r="G45" s="4">
        <f>G18/G17*100</f>
        <v>166.33333333333334</v>
      </c>
      <c r="H45" s="4">
        <f>H18/H17*100</f>
        <v>0</v>
      </c>
    </row>
    <row r="46" spans="1:8" x14ac:dyDescent="0.25">
      <c r="A46" s="6" t="s">
        <v>30</v>
      </c>
      <c r="B46" s="4">
        <f t="shared" ref="B46:F46" si="9">AVERAGE(B44:B45)</f>
        <v>174.37046154325449</v>
      </c>
      <c r="C46" s="21">
        <f t="shared" si="9"/>
        <v>182.86775014279038</v>
      </c>
      <c r="D46" s="4">
        <f t="shared" si="9"/>
        <v>237.3</v>
      </c>
      <c r="E46" s="4">
        <f t="shared" si="9"/>
        <v>129.26086956521738</v>
      </c>
      <c r="F46" s="4">
        <f t="shared" si="9"/>
        <v>136.07025910866923</v>
      </c>
      <c r="G46" s="4">
        <f>AVERAGE(G44:G45)</f>
        <v>166.33333333333334</v>
      </c>
      <c r="H46" s="4">
        <f>AVERAGE(H44:H45)</f>
        <v>0</v>
      </c>
    </row>
    <row r="47" spans="1:8" x14ac:dyDescent="0.25">
      <c r="B47" s="1"/>
      <c r="C47" s="1"/>
      <c r="D47" s="1"/>
    </row>
    <row r="48" spans="1:8" x14ac:dyDescent="0.25">
      <c r="A48" s="6" t="s">
        <v>31</v>
      </c>
    </row>
    <row r="49" spans="1:8" x14ac:dyDescent="0.25">
      <c r="A49" s="6" t="s">
        <v>32</v>
      </c>
      <c r="B49" s="4">
        <f t="shared" ref="B49:F49" si="10">B12/B13*100</f>
        <v>182.19111964517424</v>
      </c>
      <c r="C49" s="21">
        <f t="shared" si="10"/>
        <v>182.86775014279038</v>
      </c>
      <c r="D49" s="4">
        <f t="shared" si="10"/>
        <v>237.30395506591776</v>
      </c>
      <c r="E49" s="4">
        <f t="shared" si="10"/>
        <v>129.26086956521738</v>
      </c>
      <c r="F49" s="4">
        <f t="shared" si="10"/>
        <v>124.11111111111113</v>
      </c>
      <c r="G49" s="4">
        <f>G12/G13*100</f>
        <v>166.33333333333334</v>
      </c>
      <c r="H49" s="4">
        <f>H12/H13*100</f>
        <v>0</v>
      </c>
    </row>
    <row r="50" spans="1:8" x14ac:dyDescent="0.25">
      <c r="A50" s="6" t="s">
        <v>33</v>
      </c>
      <c r="B50" s="4">
        <f t="shared" ref="B50:F50" si="11">B18/B19*100</f>
        <v>43.091022264924121</v>
      </c>
      <c r="C50" s="21">
        <f t="shared" si="11"/>
        <v>45.716937535697596</v>
      </c>
      <c r="D50" s="4">
        <f t="shared" si="11"/>
        <v>59.325000000000003</v>
      </c>
      <c r="E50" s="4">
        <f t="shared" si="11"/>
        <v>32.315217391304344</v>
      </c>
      <c r="F50" s="4">
        <f t="shared" si="11"/>
        <v>37.007351776556831</v>
      </c>
      <c r="G50" s="4">
        <f>G18/G19*100</f>
        <v>41.583333333333336</v>
      </c>
      <c r="H50" s="4">
        <f>H18/H19*100</f>
        <v>0</v>
      </c>
    </row>
    <row r="51" spans="1:8" x14ac:dyDescent="0.25">
      <c r="A51" s="6" t="s">
        <v>34</v>
      </c>
      <c r="B51" s="4">
        <f t="shared" ref="B51:F51" si="12">(B49+B50)/2</f>
        <v>112.64107095504917</v>
      </c>
      <c r="C51" s="21">
        <f t="shared" si="12"/>
        <v>114.29234383924398</v>
      </c>
      <c r="D51" s="4">
        <f t="shared" si="12"/>
        <v>148.31447753295888</v>
      </c>
      <c r="E51" s="4">
        <f t="shared" si="12"/>
        <v>80.78804347826086</v>
      </c>
      <c r="F51" s="4">
        <f t="shared" si="12"/>
        <v>80.55923144383398</v>
      </c>
      <c r="G51" s="4">
        <f>(G49+G50)/2</f>
        <v>103.95833333333334</v>
      </c>
      <c r="H51" s="4">
        <f>(H49+H50)/2</f>
        <v>0</v>
      </c>
    </row>
    <row r="53" spans="1:8" x14ac:dyDescent="0.25">
      <c r="A53" s="6" t="s">
        <v>35</v>
      </c>
      <c r="B53" s="4">
        <f>B20/B18*100</f>
        <v>100</v>
      </c>
      <c r="C53" s="21">
        <f>C20/C18*100</f>
        <v>100</v>
      </c>
      <c r="D53" s="4">
        <f>D20/D18*100</f>
        <v>100</v>
      </c>
      <c r="E53" s="4">
        <f>E20/E18*100</f>
        <v>100</v>
      </c>
      <c r="F53" s="11" t="s">
        <v>98</v>
      </c>
    </row>
    <row r="55" spans="1:8" x14ac:dyDescent="0.25">
      <c r="A55" s="6" t="s">
        <v>36</v>
      </c>
    </row>
    <row r="56" spans="1:8" x14ac:dyDescent="0.25">
      <c r="A56" s="6" t="s">
        <v>37</v>
      </c>
      <c r="B56" s="4">
        <f t="shared" ref="B56:F56" si="13">((B12/B10)-1)*100</f>
        <v>48.967080457193404</v>
      </c>
      <c r="C56" s="21">
        <f t="shared" si="13"/>
        <v>50.214860758143899</v>
      </c>
      <c r="D56" s="4">
        <f t="shared" si="13"/>
        <v>64.426274944567623</v>
      </c>
      <c r="E56" s="4">
        <f t="shared" si="13"/>
        <v>-0.70140280561121759</v>
      </c>
      <c r="F56" s="4">
        <f t="shared" si="13"/>
        <v>23.095088161209066</v>
      </c>
      <c r="G56" s="4">
        <f>((G12/G10)-1)*100</f>
        <v>22.561403508771917</v>
      </c>
      <c r="H56" s="4" t="e">
        <f>((H12/H10)-1)*100</f>
        <v>#DIV/0!</v>
      </c>
    </row>
    <row r="57" spans="1:8" x14ac:dyDescent="0.25">
      <c r="A57" s="6" t="s">
        <v>38</v>
      </c>
      <c r="B57" s="4">
        <f t="shared" ref="B57:H57" si="14">((B33/B32)-1)*100</f>
        <v>40.518397846514631</v>
      </c>
      <c r="C57" s="21">
        <f t="shared" si="14"/>
        <v>43.157786762794871</v>
      </c>
      <c r="D57" s="4">
        <f t="shared" si="14"/>
        <v>56.701550618312766</v>
      </c>
      <c r="E57" s="4">
        <f t="shared" si="14"/>
        <v>-5.3664375731328429</v>
      </c>
      <c r="F57" s="4">
        <f t="shared" si="14"/>
        <v>58.076468983608251</v>
      </c>
      <c r="G57" s="4">
        <f t="shared" si="14"/>
        <v>16.803485223124937</v>
      </c>
      <c r="H57" s="4" t="e">
        <f t="shared" si="14"/>
        <v>#DIV/0!</v>
      </c>
    </row>
    <row r="58" spans="1:8" x14ac:dyDescent="0.25">
      <c r="A58" s="6" t="s">
        <v>39</v>
      </c>
      <c r="B58" s="4">
        <f t="shared" ref="B58:F58" si="15">((B35/B34)-1)*100</f>
        <v>-5.6715098293858013</v>
      </c>
      <c r="C58" s="21">
        <f t="shared" si="15"/>
        <v>-4.6979865771812008</v>
      </c>
      <c r="D58" s="4">
        <f t="shared" si="15"/>
        <v>-4.6979865771812008</v>
      </c>
      <c r="E58" s="4">
        <f t="shared" si="15"/>
        <v>-4.6979865771812008</v>
      </c>
      <c r="F58" s="4">
        <f t="shared" si="15"/>
        <v>28.418177642138343</v>
      </c>
      <c r="G58" s="4">
        <f>((G35/G34)-1)*100</f>
        <v>-4.6979865771811902</v>
      </c>
      <c r="H58" s="4" t="e">
        <f>((H35/H34)-1)*100</f>
        <v>#DIV/0!</v>
      </c>
    </row>
    <row r="59" spans="1:8" x14ac:dyDescent="0.25">
      <c r="B59" s="1"/>
      <c r="C59" s="1"/>
      <c r="D59" s="1"/>
    </row>
    <row r="60" spans="1:8" x14ac:dyDescent="0.25">
      <c r="A60" s="6" t="s">
        <v>40</v>
      </c>
    </row>
    <row r="61" spans="1:8" x14ac:dyDescent="0.25">
      <c r="A61" s="6" t="s">
        <v>106</v>
      </c>
      <c r="B61" s="2">
        <f>B17/(B11*3)</f>
        <v>14693.337598245293</v>
      </c>
      <c r="C61" s="19">
        <f t="shared" ref="C61:H61" si="16">C17/(C11*3)</f>
        <v>11000</v>
      </c>
      <c r="D61" s="2">
        <f t="shared" si="16"/>
        <v>17000</v>
      </c>
      <c r="E61" s="2">
        <f t="shared" si="16"/>
        <v>40000</v>
      </c>
      <c r="F61" s="2">
        <f t="shared" si="16"/>
        <v>65000</v>
      </c>
      <c r="G61" s="2">
        <f t="shared" si="16"/>
        <v>60000</v>
      </c>
      <c r="H61" s="2">
        <f t="shared" si="16"/>
        <v>208250</v>
      </c>
    </row>
    <row r="62" spans="1:8" x14ac:dyDescent="0.25">
      <c r="A62" s="6" t="s">
        <v>107</v>
      </c>
      <c r="B62" s="2">
        <f>B18/(B12*3)</f>
        <v>13431.924518651975</v>
      </c>
      <c r="C62" s="19">
        <f t="shared" ref="C62:H62" si="17">C18/(C12*3)</f>
        <v>11000</v>
      </c>
      <c r="D62" s="2">
        <f t="shared" si="17"/>
        <v>17000</v>
      </c>
      <c r="E62" s="2">
        <f t="shared" si="17"/>
        <v>40000</v>
      </c>
      <c r="F62" s="2">
        <f t="shared" si="17"/>
        <v>77526.591904335699</v>
      </c>
      <c r="G62" s="2">
        <f t="shared" si="17"/>
        <v>60000</v>
      </c>
      <c r="H62" s="2" t="e">
        <f t="shared" si="17"/>
        <v>#DIV/0!</v>
      </c>
    </row>
    <row r="63" spans="1:8" x14ac:dyDescent="0.25">
      <c r="A63" s="6" t="s">
        <v>41</v>
      </c>
      <c r="B63" s="4">
        <f t="shared" ref="B63:H63" si="18">(B61/B62)*B46</f>
        <v>190.7458648281636</v>
      </c>
      <c r="C63" s="21">
        <f t="shared" si="18"/>
        <v>182.86775014279038</v>
      </c>
      <c r="D63" s="4">
        <f t="shared" si="18"/>
        <v>237.3</v>
      </c>
      <c r="E63" s="4">
        <f t="shared" si="18"/>
        <v>129.26086956521738</v>
      </c>
      <c r="F63" s="4">
        <f t="shared" si="18"/>
        <v>114.08429836535694</v>
      </c>
      <c r="G63" s="4">
        <f t="shared" si="18"/>
        <v>166.33333333333334</v>
      </c>
      <c r="H63" s="4" t="e">
        <f t="shared" si="18"/>
        <v>#DIV/0!</v>
      </c>
    </row>
    <row r="64" spans="1:8" x14ac:dyDescent="0.25">
      <c r="A64" s="6" t="s">
        <v>123</v>
      </c>
      <c r="B64" s="2">
        <f>B17/B11</f>
        <v>44080.012794735878</v>
      </c>
      <c r="C64" s="2">
        <f t="shared" ref="C64:H64" si="19">C17/C11</f>
        <v>33000</v>
      </c>
      <c r="D64" s="2">
        <f t="shared" si="19"/>
        <v>51000</v>
      </c>
      <c r="E64" s="2">
        <f t="shared" si="19"/>
        <v>120000</v>
      </c>
      <c r="F64" s="2">
        <f t="shared" si="19"/>
        <v>195000</v>
      </c>
      <c r="G64" s="2">
        <f t="shared" si="19"/>
        <v>180000</v>
      </c>
      <c r="H64" s="2">
        <f t="shared" si="19"/>
        <v>624750</v>
      </c>
    </row>
    <row r="65" spans="1:8" x14ac:dyDescent="0.25">
      <c r="A65" s="6" t="s">
        <v>124</v>
      </c>
      <c r="B65" s="2">
        <f>B18/B12</f>
        <v>40295.773555955922</v>
      </c>
      <c r="C65" s="2">
        <f t="shared" ref="C65:H65" si="20">C18/C12</f>
        <v>33000</v>
      </c>
      <c r="D65" s="2">
        <f t="shared" si="20"/>
        <v>51000</v>
      </c>
      <c r="E65" s="2">
        <f t="shared" si="20"/>
        <v>120000</v>
      </c>
      <c r="F65" s="2">
        <f t="shared" si="20"/>
        <v>232579.77571300708</v>
      </c>
      <c r="G65" s="2">
        <f t="shared" si="20"/>
        <v>180000</v>
      </c>
      <c r="H65" s="2" t="e">
        <f t="shared" si="20"/>
        <v>#DIV/0!</v>
      </c>
    </row>
    <row r="66" spans="1:8" x14ac:dyDescent="0.25">
      <c r="B66" s="1"/>
      <c r="C66" s="1"/>
      <c r="D66" s="1"/>
    </row>
    <row r="67" spans="1:8" x14ac:dyDescent="0.25">
      <c r="A67" s="6" t="s">
        <v>42</v>
      </c>
      <c r="B67" s="1"/>
      <c r="C67" s="1"/>
      <c r="D67" s="1"/>
    </row>
    <row r="68" spans="1:8" x14ac:dyDescent="0.25">
      <c r="A68" s="6" t="s">
        <v>43</v>
      </c>
      <c r="B68" s="4">
        <f>(B24/B23)*100</f>
        <v>132.74901360782755</v>
      </c>
      <c r="C68" s="4"/>
      <c r="D68" s="4"/>
      <c r="E68" s="4"/>
      <c r="F68" s="4"/>
    </row>
    <row r="69" spans="1:8" x14ac:dyDescent="0.25">
      <c r="A69" s="6" t="s">
        <v>44</v>
      </c>
      <c r="B69" s="4">
        <f>(B18/B24)*100</f>
        <v>125.46230842615191</v>
      </c>
      <c r="C69" s="4"/>
      <c r="D69" s="4"/>
      <c r="E69" s="4"/>
      <c r="F69" s="4"/>
    </row>
    <row r="70" spans="1:8" ht="15.75" thickBot="1" x14ac:dyDescent="0.3">
      <c r="A70" s="12"/>
      <c r="B70" s="12"/>
      <c r="C70" s="12"/>
      <c r="D70" s="12"/>
      <c r="E70" s="12"/>
      <c r="F70" s="12"/>
      <c r="G70" s="12"/>
      <c r="H70" s="12"/>
    </row>
    <row r="71" spans="1:8" ht="15.75" thickTop="1" x14ac:dyDescent="0.25"/>
    <row r="72" spans="1:8" x14ac:dyDescent="0.25">
      <c r="A72" s="13" t="s">
        <v>101</v>
      </c>
    </row>
    <row r="73" spans="1:8" x14ac:dyDescent="0.25">
      <c r="A73" s="18" t="s">
        <v>105</v>
      </c>
    </row>
    <row r="74" spans="1:8" x14ac:dyDescent="0.25">
      <c r="A74" s="6" t="s">
        <v>102</v>
      </c>
      <c r="B74" s="14"/>
      <c r="C74" s="14"/>
    </row>
    <row r="75" spans="1:8" x14ac:dyDescent="0.25">
      <c r="A75" s="6" t="s">
        <v>103</v>
      </c>
    </row>
    <row r="76" spans="1:8" x14ac:dyDescent="0.25">
      <c r="A76" s="6" t="s">
        <v>104</v>
      </c>
    </row>
    <row r="78" spans="1:8" x14ac:dyDescent="0.25">
      <c r="A78" s="9" t="s">
        <v>116</v>
      </c>
    </row>
    <row r="79" spans="1:8" x14ac:dyDescent="0.25">
      <c r="A79" s="6" t="s">
        <v>117</v>
      </c>
    </row>
    <row r="80" spans="1:8" x14ac:dyDescent="0.25">
      <c r="A80" s="29" t="s">
        <v>118</v>
      </c>
    </row>
    <row r="81" spans="1:1" x14ac:dyDescent="0.25">
      <c r="A81" s="29" t="s">
        <v>119</v>
      </c>
    </row>
    <row r="82" spans="1:1" x14ac:dyDescent="0.25">
      <c r="A82" s="29" t="s">
        <v>120</v>
      </c>
    </row>
    <row r="83" spans="1:1" x14ac:dyDescent="0.25">
      <c r="A83" s="29" t="s">
        <v>121</v>
      </c>
    </row>
    <row r="84" spans="1:1" x14ac:dyDescent="0.25">
      <c r="A84" s="29" t="s">
        <v>122</v>
      </c>
    </row>
  </sheetData>
  <mergeCells count="4">
    <mergeCell ref="A4:A5"/>
    <mergeCell ref="B4:B5"/>
    <mergeCell ref="A2:G2"/>
    <mergeCell ref="C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4"/>
  <sheetViews>
    <sheetView zoomScale="90" zoomScaleNormal="90" workbookViewId="0"/>
  </sheetViews>
  <sheetFormatPr baseColWidth="10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6" width="16.28515625" style="6" bestFit="1" customWidth="1"/>
    <col min="7" max="7" width="15" style="6" bestFit="1" customWidth="1"/>
    <col min="8" max="8" width="14.7109375" style="6" bestFit="1" customWidth="1"/>
    <col min="9" max="16384" width="11.42578125" style="6"/>
  </cols>
  <sheetData>
    <row r="2" spans="1:8" ht="15.75" x14ac:dyDescent="0.25">
      <c r="A2" s="57" t="s">
        <v>112</v>
      </c>
      <c r="B2" s="57"/>
      <c r="C2" s="57"/>
      <c r="D2" s="57"/>
      <c r="E2" s="57"/>
      <c r="F2" s="57"/>
      <c r="G2" s="57"/>
    </row>
    <row r="4" spans="1:8" x14ac:dyDescent="0.25">
      <c r="A4" s="53" t="s">
        <v>0</v>
      </c>
      <c r="B4" s="59" t="s">
        <v>1</v>
      </c>
      <c r="C4" s="58" t="s">
        <v>2</v>
      </c>
      <c r="D4" s="58"/>
      <c r="E4" s="58"/>
      <c r="F4" s="58"/>
      <c r="G4" s="58"/>
      <c r="H4" s="58"/>
    </row>
    <row r="5" spans="1:8" ht="31.5" customHeight="1" thickBot="1" x14ac:dyDescent="0.3">
      <c r="A5" s="54"/>
      <c r="B5" s="60"/>
      <c r="C5" s="20" t="s">
        <v>100</v>
      </c>
      <c r="D5" s="7" t="s">
        <v>3</v>
      </c>
      <c r="E5" s="7" t="s">
        <v>4</v>
      </c>
      <c r="F5" s="8" t="s">
        <v>46</v>
      </c>
      <c r="G5" s="8" t="s">
        <v>45</v>
      </c>
      <c r="H5" s="8" t="s">
        <v>47</v>
      </c>
    </row>
    <row r="6" spans="1:8" ht="15.75" thickTop="1" x14ac:dyDescent="0.25"/>
    <row r="7" spans="1:8" x14ac:dyDescent="0.25">
      <c r="A7" s="9" t="s">
        <v>5</v>
      </c>
    </row>
    <row r="9" spans="1:8" x14ac:dyDescent="0.25">
      <c r="A9" s="6" t="s">
        <v>6</v>
      </c>
    </row>
    <row r="10" spans="1:8" x14ac:dyDescent="0.25">
      <c r="A10" s="3" t="s">
        <v>78</v>
      </c>
      <c r="B10" s="2">
        <f>SUM(C10:H10)</f>
        <v>80375.333333333328</v>
      </c>
      <c r="C10" s="19">
        <f>AVERAGE(+'I Trimestre'!C10:C10,+'II Trimestre'!C10:C10)</f>
        <v>72647.5</v>
      </c>
      <c r="D10" s="19">
        <f>AVERAGE('I Trimestre'!D10,+'II Trimestre'!D10)</f>
        <v>4431</v>
      </c>
      <c r="E10" s="19">
        <f>AVERAGE('I Trimestre'!E10,+'II Trimestre'!E10)</f>
        <v>1487</v>
      </c>
      <c r="F10" s="19">
        <f>AVERAGE(+'I Trimestre'!F10,+'II Trimestre'!F10)</f>
        <v>1295</v>
      </c>
      <c r="G10" s="19">
        <f>AVERAGE(+'I Trimestre'!G10,+'II Trimestre'!G10)</f>
        <v>514.83333333333326</v>
      </c>
      <c r="H10" s="19">
        <f>+'I Trimestre'!H10+'II Trimestre'!H10</f>
        <v>0</v>
      </c>
    </row>
    <row r="11" spans="1:8" x14ac:dyDescent="0.25">
      <c r="A11" s="3" t="s">
        <v>79</v>
      </c>
      <c r="B11" s="2">
        <f>SUM(C11:H11)</f>
        <v>87223.5</v>
      </c>
      <c r="C11" s="19">
        <f>AVERAGE(+'I Trimestre'!C11:C11,+'II Trimestre'!C11:C11)</f>
        <v>77036</v>
      </c>
      <c r="D11" s="19">
        <f>AVERAGE('I Trimestre'!D11,'II Trimestre'!D11)</f>
        <v>5000</v>
      </c>
      <c r="E11" s="19">
        <f>AVERAGE('I Trimestre'!E11,+'II Trimestre'!E11)</f>
        <v>2300</v>
      </c>
      <c r="F11" s="19">
        <f>AVERAGE(+'I Trimestre'!F11,+'II Trimestre'!F11)</f>
        <v>2100</v>
      </c>
      <c r="G11" s="19">
        <f>AVERAGE(+'I Trimestre'!G11,+'II Trimestre'!G11)</f>
        <v>700</v>
      </c>
      <c r="H11" s="19">
        <f>AVERAGE(+'I Trimestre'!H11,+'II Trimestre'!H11)</f>
        <v>87.5</v>
      </c>
    </row>
    <row r="12" spans="1:8" x14ac:dyDescent="0.25">
      <c r="A12" s="3" t="s">
        <v>80</v>
      </c>
      <c r="B12" s="2">
        <f>SUM(C12:H12)</f>
        <v>64707.666666666664</v>
      </c>
      <c r="C12" s="19">
        <f>AVERAGE(+'I Trimestre'!C12:C12,+'II Trimestre'!C12:C12)</f>
        <v>54895.5</v>
      </c>
      <c r="D12" s="19">
        <f>AVERAGE(+'I Trimestre'!D12:D12,+'II Trimestre'!D12:D12)</f>
        <v>6338.6666666666661</v>
      </c>
      <c r="E12" s="19">
        <f>AVERAGE(+'I Trimestre'!E12:E12,+'II Trimestre'!E12:E12)</f>
        <v>1985</v>
      </c>
      <c r="F12" s="19">
        <f>AVERAGE(+'I Trimestre'!F12:F12,+'II Trimestre'!F12:F12)</f>
        <v>995.83333333333337</v>
      </c>
      <c r="G12" s="19">
        <f>AVERAGE(+'I Trimestre'!G12:G12,+'II Trimestre'!G12:G12)</f>
        <v>492.66666666666663</v>
      </c>
      <c r="H12" s="19">
        <f>AVERAGE(+'I Trimestre'!H12:H12,+'II Trimestre'!H12:H12)</f>
        <v>0</v>
      </c>
    </row>
    <row r="13" spans="1:8" x14ac:dyDescent="0.25">
      <c r="A13" s="3" t="s">
        <v>10</v>
      </c>
      <c r="B13" s="2">
        <f>SUM(C13:H13)</f>
        <v>87135.916666666672</v>
      </c>
      <c r="C13" s="19">
        <f>1827+75209</f>
        <v>77036</v>
      </c>
      <c r="D13" s="19">
        <f>59999/12</f>
        <v>4999.916666666667</v>
      </c>
      <c r="E13" s="19">
        <f>27600/12</f>
        <v>2300</v>
      </c>
      <c r="F13" s="19">
        <f>25200/12</f>
        <v>2100</v>
      </c>
      <c r="G13" s="19">
        <f>8400/12</f>
        <v>700</v>
      </c>
      <c r="H13" s="19">
        <v>0</v>
      </c>
    </row>
    <row r="14" spans="1:8" x14ac:dyDescent="0.25">
      <c r="C14" s="10"/>
    </row>
    <row r="15" spans="1:8" x14ac:dyDescent="0.25">
      <c r="A15" s="5" t="s">
        <v>11</v>
      </c>
    </row>
    <row r="16" spans="1:8" x14ac:dyDescent="0.25">
      <c r="A16" s="3" t="s">
        <v>78</v>
      </c>
      <c r="B16" s="2">
        <f>SUM(C16:H16)</f>
        <v>6313987327.5</v>
      </c>
      <c r="C16" s="19">
        <f>+'I Trimestre'!C16:C16+'II Trimestre'!C16:C16</f>
        <v>4794735000</v>
      </c>
      <c r="D16" s="2">
        <f>+'I Trimestre'!D16+'II Trimestre'!D16</f>
        <v>451962000</v>
      </c>
      <c r="E16" s="2">
        <f>+'I Trimestre'!E16+'II Trimestre'!E16</f>
        <v>438480000</v>
      </c>
      <c r="F16" s="2">
        <f>+'I Trimestre'!F16+'II Trimestre'!F16</f>
        <v>443470327.5</v>
      </c>
      <c r="G16" s="2">
        <f>+'I Trimestre'!G16+'II Trimestre'!G16</f>
        <v>185340000</v>
      </c>
      <c r="H16" s="2">
        <f>+'I Trimestre'!H16+'II Trimestre'!H16</f>
        <v>0</v>
      </c>
    </row>
    <row r="17" spans="1:8" x14ac:dyDescent="0.25">
      <c r="A17" s="3" t="s">
        <v>79</v>
      </c>
      <c r="B17" s="2">
        <f>SUM(C17:H17)</f>
        <v>7290263500</v>
      </c>
      <c r="C17" s="19">
        <f>+'I Trimestre'!C17:C17+'II Trimestre'!C17:C17</f>
        <v>5084376000</v>
      </c>
      <c r="D17" s="2">
        <f>+'I Trimestre'!D17+'II Trimestre'!D17</f>
        <v>510000000</v>
      </c>
      <c r="E17" s="2">
        <f>+'I Trimestre'!E17+'II Trimestre'!E17</f>
        <v>552000000</v>
      </c>
      <c r="F17" s="2">
        <f>+'I Trimestre'!F17+'II Trimestre'!F17</f>
        <v>819000000</v>
      </c>
      <c r="G17" s="2">
        <f>+'I Trimestre'!G17+'II Trimestre'!G17</f>
        <v>252000000</v>
      </c>
      <c r="H17" s="2">
        <f>+'I Trimestre'!H17+'II Trimestre'!H17</f>
        <v>72887500</v>
      </c>
    </row>
    <row r="18" spans="1:8" x14ac:dyDescent="0.25">
      <c r="A18" s="3" t="s">
        <v>80</v>
      </c>
      <c r="B18" s="2">
        <f>SUM(C18:H18)</f>
        <v>5258946828</v>
      </c>
      <c r="C18" s="19">
        <f>+'I Trimestre'!C18:C18+'II Trimestre'!C18:C18</f>
        <v>3623103000</v>
      </c>
      <c r="D18" s="2">
        <f>+'I Trimestre'!D18+'II Trimestre'!D18</f>
        <v>646544000</v>
      </c>
      <c r="E18" s="2">
        <f>+'I Trimestre'!E18+'II Trimestre'!E18</f>
        <v>476400000</v>
      </c>
      <c r="F18" s="2">
        <f>+'I Trimestre'!F18+'II Trimestre'!F18</f>
        <v>335539828</v>
      </c>
      <c r="G18" s="2">
        <f>+'I Trimestre'!G18+'II Trimestre'!G18</f>
        <v>177360000</v>
      </c>
      <c r="H18" s="2">
        <f>+'I Trimestre'!H18+'II Trimestre'!H18</f>
        <v>0</v>
      </c>
    </row>
    <row r="19" spans="1:8" x14ac:dyDescent="0.25">
      <c r="A19" s="3" t="s">
        <v>10</v>
      </c>
      <c r="B19" s="2">
        <f>SUM(C19:H19)</f>
        <v>14913727000</v>
      </c>
      <c r="C19" s="19">
        <f>241164000+9927588000</f>
        <v>10168752000</v>
      </c>
      <c r="D19" s="2">
        <v>1020000000</v>
      </c>
      <c r="E19" s="2">
        <v>1104000000</v>
      </c>
      <c r="F19" s="2">
        <v>1638000000</v>
      </c>
      <c r="G19" s="2">
        <v>504000000</v>
      </c>
      <c r="H19" s="2">
        <v>478975000</v>
      </c>
    </row>
    <row r="20" spans="1:8" x14ac:dyDescent="0.25">
      <c r="A20" s="3" t="s">
        <v>81</v>
      </c>
      <c r="B20" s="2">
        <f>SUM(C20:H20)</f>
        <v>5258946828</v>
      </c>
      <c r="C20" s="19">
        <f>+'I Trimestre'!C20:C20+'II Trimestre'!C20:C20</f>
        <v>3623103000</v>
      </c>
      <c r="D20" s="2">
        <f>+'I Trimestre'!D20+'II Trimestre'!D20</f>
        <v>646544000</v>
      </c>
      <c r="E20" s="2">
        <f>+'I Trimestre'!E20+'II Trimestre'!E20</f>
        <v>476400000</v>
      </c>
      <c r="F20" s="2">
        <f>+'I Trimestre'!F20+'II Trimestre'!F20</f>
        <v>335539828</v>
      </c>
      <c r="G20" s="2">
        <f>+'I Trimestre'!G20+'II Trimestre'!G20</f>
        <v>177360000</v>
      </c>
      <c r="H20" s="2">
        <f>+'I Trimestre'!H20+'II Trimestre'!H20</f>
        <v>0</v>
      </c>
    </row>
    <row r="21" spans="1:8" x14ac:dyDescent="0.25">
      <c r="B21" s="2"/>
      <c r="C21" s="2"/>
      <c r="D21" s="2"/>
      <c r="E21" s="2"/>
      <c r="F21" s="2"/>
      <c r="G21" s="2"/>
      <c r="H21" s="2"/>
    </row>
    <row r="22" spans="1:8" x14ac:dyDescent="0.25">
      <c r="A22" s="5" t="s">
        <v>13</v>
      </c>
      <c r="B22" s="2"/>
      <c r="C22" s="2"/>
      <c r="D22" s="2"/>
      <c r="E22" s="2"/>
      <c r="F22" s="2"/>
      <c r="G22" s="2"/>
      <c r="H22" s="2"/>
    </row>
    <row r="23" spans="1:8" x14ac:dyDescent="0.25">
      <c r="A23" s="3" t="s">
        <v>79</v>
      </c>
      <c r="B23" s="2">
        <f>B17</f>
        <v>7290263500</v>
      </c>
      <c r="C23" s="2"/>
      <c r="D23" s="2"/>
      <c r="E23" s="2"/>
      <c r="F23" s="2"/>
      <c r="G23" s="2"/>
      <c r="H23" s="2"/>
    </row>
    <row r="24" spans="1:8" x14ac:dyDescent="0.25">
      <c r="A24" s="3" t="s">
        <v>80</v>
      </c>
      <c r="B24" s="2">
        <f>+'I Trimestre'!B24+'II Trimestre'!B24</f>
        <v>7658751647.2699995</v>
      </c>
      <c r="C24" s="2"/>
      <c r="D24" s="2"/>
      <c r="E24" s="2"/>
      <c r="F24" s="2"/>
      <c r="G24" s="2"/>
      <c r="H24" s="2"/>
    </row>
    <row r="26" spans="1:8" x14ac:dyDescent="0.25">
      <c r="A26" s="6" t="s">
        <v>14</v>
      </c>
    </row>
    <row r="27" spans="1:8" x14ac:dyDescent="0.25">
      <c r="A27" s="6" t="s">
        <v>82</v>
      </c>
      <c r="B27" s="6">
        <v>1.39</v>
      </c>
      <c r="C27" s="22">
        <v>1.39</v>
      </c>
      <c r="D27" s="6">
        <v>1.39</v>
      </c>
      <c r="E27" s="6">
        <v>1.39</v>
      </c>
      <c r="F27" s="6">
        <v>1.39</v>
      </c>
      <c r="G27" s="6">
        <v>1.39</v>
      </c>
      <c r="H27" s="6">
        <v>1.39</v>
      </c>
    </row>
    <row r="28" spans="1:8" x14ac:dyDescent="0.25">
      <c r="A28" s="6" t="s">
        <v>83</v>
      </c>
      <c r="B28" s="6">
        <v>1.45</v>
      </c>
      <c r="C28" s="22">
        <v>1.45</v>
      </c>
      <c r="D28" s="6">
        <v>1.45</v>
      </c>
      <c r="E28" s="6">
        <v>1.45</v>
      </c>
      <c r="F28" s="6">
        <v>1.45</v>
      </c>
      <c r="G28" s="6">
        <v>1.45</v>
      </c>
      <c r="H28" s="6">
        <v>1.45</v>
      </c>
    </row>
    <row r="29" spans="1:8" x14ac:dyDescent="0.25">
      <c r="A29" s="3" t="s">
        <v>17</v>
      </c>
      <c r="B29" s="28">
        <f>SUM(C29:F29)</f>
        <v>259781</v>
      </c>
      <c r="C29" s="23">
        <v>223258</v>
      </c>
      <c r="D29" s="19">
        <v>8954</v>
      </c>
      <c r="E29" s="15">
        <v>8954</v>
      </c>
      <c r="F29" s="19">
        <v>18615</v>
      </c>
      <c r="G29" s="19" t="s">
        <v>115</v>
      </c>
      <c r="H29" s="6" t="s">
        <v>115</v>
      </c>
    </row>
    <row r="31" spans="1:8" x14ac:dyDescent="0.25">
      <c r="A31" s="6" t="s">
        <v>18</v>
      </c>
    </row>
    <row r="32" spans="1:8" x14ac:dyDescent="0.25">
      <c r="A32" s="6" t="s">
        <v>84</v>
      </c>
      <c r="B32" s="2">
        <f t="shared" ref="B32:F32" si="0">B16/B27</f>
        <v>4542436926.2589931</v>
      </c>
      <c r="C32" s="19">
        <f t="shared" si="0"/>
        <v>3449449640.2877698</v>
      </c>
      <c r="D32" s="2">
        <f t="shared" si="0"/>
        <v>325152517.98561156</v>
      </c>
      <c r="E32" s="2">
        <f t="shared" si="0"/>
        <v>315453237.41007197</v>
      </c>
      <c r="F32" s="2">
        <f t="shared" si="0"/>
        <v>319043401.07913673</v>
      </c>
      <c r="G32" s="2">
        <f>G16/G27</f>
        <v>133338129.49640289</v>
      </c>
      <c r="H32" s="2">
        <f>H16/H27</f>
        <v>0</v>
      </c>
    </row>
    <row r="33" spans="1:8" x14ac:dyDescent="0.25">
      <c r="A33" s="6" t="s">
        <v>85</v>
      </c>
      <c r="B33" s="2">
        <f t="shared" ref="B33:F33" si="1">B18/B28</f>
        <v>3626859881.3793106</v>
      </c>
      <c r="C33" s="19">
        <f t="shared" si="1"/>
        <v>2498691724.1379313</v>
      </c>
      <c r="D33" s="2">
        <f t="shared" si="1"/>
        <v>445892413.79310346</v>
      </c>
      <c r="E33" s="2">
        <f t="shared" si="1"/>
        <v>328551724.13793105</v>
      </c>
      <c r="F33" s="2">
        <f t="shared" si="1"/>
        <v>231406777.93103448</v>
      </c>
      <c r="G33" s="2">
        <f>G18/G28</f>
        <v>122317241.37931035</v>
      </c>
      <c r="H33" s="2">
        <f>H18/H28</f>
        <v>0</v>
      </c>
    </row>
    <row r="34" spans="1:8" x14ac:dyDescent="0.25">
      <c r="A34" s="6" t="s">
        <v>86</v>
      </c>
      <c r="B34" s="2">
        <f t="shared" ref="B34:F34" si="2">B32/B10</f>
        <v>56515.310579435565</v>
      </c>
      <c r="C34" s="19">
        <f t="shared" si="2"/>
        <v>47482.01438848921</v>
      </c>
      <c r="D34" s="2">
        <f t="shared" si="2"/>
        <v>73381.294964028784</v>
      </c>
      <c r="E34" s="2">
        <f t="shared" si="2"/>
        <v>212140.71110294011</v>
      </c>
      <c r="F34" s="2">
        <f t="shared" si="2"/>
        <v>246365.56067887007</v>
      </c>
      <c r="G34" s="2">
        <f>G32/G10</f>
        <v>258992.80575539573</v>
      </c>
      <c r="H34" s="2" t="e">
        <f>H32/H10</f>
        <v>#DIV/0!</v>
      </c>
    </row>
    <row r="35" spans="1:8" x14ac:dyDescent="0.25">
      <c r="A35" s="6" t="s">
        <v>87</v>
      </c>
      <c r="B35" s="2">
        <f>B33/B12</f>
        <v>56049.925274892375</v>
      </c>
      <c r="C35" s="19">
        <f>C33/C12</f>
        <v>45517.241379310348</v>
      </c>
      <c r="D35" s="2">
        <f>D33/D12</f>
        <v>70344.827586206899</v>
      </c>
      <c r="E35" s="2">
        <f>E33/E12</f>
        <v>165517.24137931035</v>
      </c>
      <c r="F35" s="2">
        <f t="shared" ref="F35:H35" si="3">F33/F12</f>
        <v>232375.00712739863</v>
      </c>
      <c r="G35" s="2">
        <f t="shared" si="3"/>
        <v>248275.86206896557</v>
      </c>
      <c r="H35" s="2" t="e">
        <f t="shared" si="3"/>
        <v>#DIV/0!</v>
      </c>
    </row>
    <row r="37" spans="1:8" x14ac:dyDescent="0.25">
      <c r="A37" s="9" t="s">
        <v>23</v>
      </c>
    </row>
    <row r="39" spans="1:8" x14ac:dyDescent="0.25">
      <c r="A39" s="6" t="s">
        <v>24</v>
      </c>
    </row>
    <row r="40" spans="1:8" x14ac:dyDescent="0.25">
      <c r="A40" s="6" t="s">
        <v>25</v>
      </c>
      <c r="B40" s="21">
        <f t="shared" ref="B40" si="4">(B11/B29)*100</f>
        <v>33.575781138728388</v>
      </c>
      <c r="C40" s="21">
        <f>(C11/C29)*100</f>
        <v>34.505370468247499</v>
      </c>
      <c r="D40" s="21">
        <f t="shared" ref="D40:H40" si="5">(D11/D29)*100</f>
        <v>55.840964931874026</v>
      </c>
      <c r="E40" s="21">
        <f t="shared" si="5"/>
        <v>25.686843868662052</v>
      </c>
      <c r="F40" s="21">
        <f t="shared" si="5"/>
        <v>11.281224818694602</v>
      </c>
      <c r="G40" s="21" t="e">
        <f t="shared" si="5"/>
        <v>#VALUE!</v>
      </c>
      <c r="H40" s="21" t="e">
        <f t="shared" si="5"/>
        <v>#VALUE!</v>
      </c>
    </row>
    <row r="41" spans="1:8" x14ac:dyDescent="0.25">
      <c r="A41" s="6" t="s">
        <v>26</v>
      </c>
      <c r="B41" s="21">
        <f t="shared" ref="B41" si="6">(B12/B29)*100</f>
        <v>24.908544761420835</v>
      </c>
      <c r="C41" s="21">
        <f>(C12/C29)*100</f>
        <v>24.588368613890655</v>
      </c>
      <c r="D41" s="21">
        <f t="shared" ref="D41:H41" si="7">(D12/D29)*100</f>
        <v>70.791452609634419</v>
      </c>
      <c r="E41" s="21">
        <f t="shared" si="7"/>
        <v>22.168863077953986</v>
      </c>
      <c r="F41" s="21">
        <f t="shared" si="7"/>
        <v>5.3496284358492252</v>
      </c>
      <c r="G41" s="21" t="e">
        <f t="shared" si="7"/>
        <v>#VALUE!</v>
      </c>
      <c r="H41" s="21" t="e">
        <f t="shared" si="7"/>
        <v>#VALUE!</v>
      </c>
    </row>
    <row r="43" spans="1:8" x14ac:dyDescent="0.25">
      <c r="A43" s="6" t="s">
        <v>27</v>
      </c>
    </row>
    <row r="44" spans="1:8" x14ac:dyDescent="0.25">
      <c r="A44" s="6" t="s">
        <v>28</v>
      </c>
      <c r="B44" s="4">
        <f t="shared" ref="B44:F44" si="8">B12/B11*100</f>
        <v>74.186046956000013</v>
      </c>
      <c r="C44" s="21">
        <f t="shared" si="8"/>
        <v>71.259540993821062</v>
      </c>
      <c r="D44" s="4">
        <f t="shared" si="8"/>
        <v>126.77333333333331</v>
      </c>
      <c r="E44" s="4">
        <f t="shared" si="8"/>
        <v>86.304347826086953</v>
      </c>
      <c r="F44" s="4">
        <f t="shared" si="8"/>
        <v>47.420634920634924</v>
      </c>
      <c r="G44" s="4">
        <f>G12/G11*100</f>
        <v>70.38095238095238</v>
      </c>
      <c r="H44" s="4">
        <f>H12/H11*100</f>
        <v>0</v>
      </c>
    </row>
    <row r="45" spans="1:8" x14ac:dyDescent="0.25">
      <c r="A45" s="6" t="s">
        <v>29</v>
      </c>
      <c r="B45" s="4">
        <f t="shared" ref="B45:F45" si="9">B18/B17*100</f>
        <v>72.136580906849261</v>
      </c>
      <c r="C45" s="21">
        <f t="shared" si="9"/>
        <v>71.259540993821062</v>
      </c>
      <c r="D45" s="4">
        <f t="shared" si="9"/>
        <v>126.77333333333334</v>
      </c>
      <c r="E45" s="4">
        <f t="shared" si="9"/>
        <v>86.304347826086953</v>
      </c>
      <c r="F45" s="4">
        <f t="shared" si="9"/>
        <v>40.969453968253966</v>
      </c>
      <c r="G45" s="4">
        <f>G18/G17*100</f>
        <v>70.38095238095238</v>
      </c>
      <c r="H45" s="4">
        <f>H18/H17*100</f>
        <v>0</v>
      </c>
    </row>
    <row r="46" spans="1:8" x14ac:dyDescent="0.25">
      <c r="A46" s="6" t="s">
        <v>30</v>
      </c>
      <c r="B46" s="4">
        <f t="shared" ref="B46:F46" si="10">AVERAGE(B44:B45)</f>
        <v>73.161313931424644</v>
      </c>
      <c r="C46" s="21">
        <f t="shared" si="10"/>
        <v>71.259540993821062</v>
      </c>
      <c r="D46" s="4">
        <f t="shared" si="10"/>
        <v>126.77333333333333</v>
      </c>
      <c r="E46" s="4">
        <f t="shared" si="10"/>
        <v>86.304347826086953</v>
      </c>
      <c r="F46" s="4">
        <f t="shared" si="10"/>
        <v>44.195044444444449</v>
      </c>
      <c r="G46" s="4">
        <f>AVERAGE(G44:G45)</f>
        <v>70.38095238095238</v>
      </c>
      <c r="H46" s="4">
        <f>AVERAGE(H44:H45)</f>
        <v>0</v>
      </c>
    </row>
    <row r="47" spans="1:8" x14ac:dyDescent="0.25">
      <c r="B47" s="1"/>
      <c r="C47" s="1"/>
      <c r="D47" s="1"/>
    </row>
    <row r="48" spans="1:8" x14ac:dyDescent="0.25">
      <c r="A48" s="6" t="s">
        <v>31</v>
      </c>
    </row>
    <row r="49" spans="1:8" x14ac:dyDescent="0.25">
      <c r="A49" s="6" t="s">
        <v>32</v>
      </c>
      <c r="B49" s="4">
        <f t="shared" ref="B49:F49" si="11">B12/B13*100</f>
        <v>74.260613925945179</v>
      </c>
      <c r="C49" s="21">
        <f t="shared" si="11"/>
        <v>71.259540993821062</v>
      </c>
      <c r="D49" s="4">
        <f t="shared" si="11"/>
        <v>126.77544625743759</v>
      </c>
      <c r="E49" s="4">
        <f t="shared" si="11"/>
        <v>86.304347826086953</v>
      </c>
      <c r="F49" s="4">
        <f t="shared" si="11"/>
        <v>47.420634920634924</v>
      </c>
      <c r="G49" s="4">
        <f>G12/G13*100</f>
        <v>70.38095238095238</v>
      </c>
      <c r="H49" s="4" t="e">
        <f>H12/H13*100</f>
        <v>#DIV/0!</v>
      </c>
    </row>
    <row r="50" spans="1:8" x14ac:dyDescent="0.25">
      <c r="A50" s="6" t="s">
        <v>33</v>
      </c>
      <c r="B50" s="4">
        <f t="shared" ref="B50:F50" si="12">B18/B19*100</f>
        <v>35.262458726782384</v>
      </c>
      <c r="C50" s="21">
        <f t="shared" si="12"/>
        <v>35.629770496910531</v>
      </c>
      <c r="D50" s="4">
        <f t="shared" si="12"/>
        <v>63.38666666666667</v>
      </c>
      <c r="E50" s="4">
        <f t="shared" si="12"/>
        <v>43.152173913043477</v>
      </c>
      <c r="F50" s="4">
        <f t="shared" si="12"/>
        <v>20.484726984126983</v>
      </c>
      <c r="G50" s="4">
        <f>G18/G19*100</f>
        <v>35.19047619047619</v>
      </c>
      <c r="H50" s="4">
        <f>H18/H19*100</f>
        <v>0</v>
      </c>
    </row>
    <row r="51" spans="1:8" x14ac:dyDescent="0.25">
      <c r="A51" s="6" t="s">
        <v>34</v>
      </c>
      <c r="B51" s="4">
        <f t="shared" ref="B51:F51" si="13">(B49+B50)/2</f>
        <v>54.761536326363782</v>
      </c>
      <c r="C51" s="21">
        <f t="shared" si="13"/>
        <v>53.444655745365793</v>
      </c>
      <c r="D51" s="4">
        <f t="shared" si="13"/>
        <v>95.081056462052132</v>
      </c>
      <c r="E51" s="4">
        <f t="shared" si="13"/>
        <v>64.728260869565219</v>
      </c>
      <c r="F51" s="4">
        <f t="shared" si="13"/>
        <v>33.952680952380952</v>
      </c>
      <c r="G51" s="4">
        <f>(G49+G50)/2</f>
        <v>52.785714285714285</v>
      </c>
      <c r="H51" s="4" t="e">
        <f>(H49+H50)/2</f>
        <v>#DIV/0!</v>
      </c>
    </row>
    <row r="53" spans="1:8" x14ac:dyDescent="0.25">
      <c r="A53" s="6" t="s">
        <v>35</v>
      </c>
      <c r="B53" s="4">
        <f>B20/B18*100</f>
        <v>100</v>
      </c>
      <c r="C53" s="21">
        <f>C20/C18*100</f>
        <v>100</v>
      </c>
      <c r="D53" s="4">
        <f>D20/D18*100</f>
        <v>100</v>
      </c>
      <c r="E53" s="4">
        <f>E20/E18*100</f>
        <v>100</v>
      </c>
      <c r="F53" s="11" t="s">
        <v>98</v>
      </c>
    </row>
    <row r="55" spans="1:8" x14ac:dyDescent="0.25">
      <c r="A55" s="6" t="s">
        <v>36</v>
      </c>
    </row>
    <row r="56" spans="1:8" x14ac:dyDescent="0.25">
      <c r="A56" s="6" t="s">
        <v>37</v>
      </c>
      <c r="B56" s="4">
        <f t="shared" ref="B56:F56" si="14">((B12/B10)-1)*100</f>
        <v>-19.493128074118925</v>
      </c>
      <c r="C56" s="21">
        <f t="shared" si="14"/>
        <v>-24.435803021439138</v>
      </c>
      <c r="D56" s="4">
        <f t="shared" si="14"/>
        <v>43.052734521928812</v>
      </c>
      <c r="E56" s="4">
        <f t="shared" si="14"/>
        <v>33.490248823133825</v>
      </c>
      <c r="F56" s="4">
        <f t="shared" si="14"/>
        <v>-23.101673101673104</v>
      </c>
      <c r="G56" s="4">
        <f>((G12/G10)-1)*100</f>
        <v>-4.3056005179669672</v>
      </c>
      <c r="H56" s="4" t="e">
        <f>((H12/H10)-1)*100</f>
        <v>#DIV/0!</v>
      </c>
    </row>
    <row r="57" spans="1:8" x14ac:dyDescent="0.25">
      <c r="A57" s="6" t="s">
        <v>38</v>
      </c>
      <c r="B57" s="4">
        <f t="shared" ref="B57:H57" si="15">((B33/B32)-1)*100</f>
        <v>-20.156076127043178</v>
      </c>
      <c r="C57" s="21">
        <f t="shared" si="15"/>
        <v>-27.562597379172683</v>
      </c>
      <c r="D57" s="4">
        <f t="shared" si="15"/>
        <v>37.133311024469684</v>
      </c>
      <c r="E57" s="4">
        <f t="shared" si="15"/>
        <v>4.1522752581016453</v>
      </c>
      <c r="F57" s="4">
        <f t="shared" si="15"/>
        <v>-27.468558463105317</v>
      </c>
      <c r="G57" s="4">
        <f t="shared" si="15"/>
        <v>-8.2653687723959308</v>
      </c>
      <c r="H57" s="4" t="e">
        <f t="shared" si="15"/>
        <v>#DIV/0!</v>
      </c>
    </row>
    <row r="58" spans="1:8" x14ac:dyDescent="0.25">
      <c r="A58" s="6" t="s">
        <v>39</v>
      </c>
      <c r="B58" s="4">
        <f t="shared" ref="B58:F58" si="16">((B35/B34)-1)*100</f>
        <v>-0.82346765818275269</v>
      </c>
      <c r="C58" s="21">
        <f t="shared" si="16"/>
        <v>-4.1379310344827562</v>
      </c>
      <c r="D58" s="4">
        <f t="shared" si="16"/>
        <v>-4.1379310344827669</v>
      </c>
      <c r="E58" s="4">
        <f t="shared" si="16"/>
        <v>-21.97761546156314</v>
      </c>
      <c r="F58" s="4">
        <f t="shared" si="16"/>
        <v>-5.6787781185486779</v>
      </c>
      <c r="G58" s="4">
        <f>((G35/G34)-1)*100</f>
        <v>-4.1379310344827562</v>
      </c>
      <c r="H58" s="4" t="e">
        <f>((H35/H34)-1)*100</f>
        <v>#DIV/0!</v>
      </c>
    </row>
    <row r="59" spans="1:8" x14ac:dyDescent="0.25">
      <c r="B59" s="1"/>
      <c r="C59" s="1"/>
      <c r="D59" s="1"/>
    </row>
    <row r="60" spans="1:8" x14ac:dyDescent="0.25">
      <c r="A60" s="6" t="s">
        <v>40</v>
      </c>
    </row>
    <row r="61" spans="1:8" x14ac:dyDescent="0.25">
      <c r="A61" s="6" t="s">
        <v>106</v>
      </c>
      <c r="B61" s="2">
        <f>B17/(B11*6)</f>
        <v>13930.235735400054</v>
      </c>
      <c r="C61" s="19">
        <f t="shared" ref="C61:H61" si="17">C17/(C11*6)</f>
        <v>11000</v>
      </c>
      <c r="D61" s="2">
        <f t="shared" si="17"/>
        <v>17000</v>
      </c>
      <c r="E61" s="2">
        <f t="shared" si="17"/>
        <v>40000</v>
      </c>
      <c r="F61" s="2">
        <f t="shared" si="17"/>
        <v>65000</v>
      </c>
      <c r="G61" s="2">
        <f t="shared" si="17"/>
        <v>60000</v>
      </c>
      <c r="H61" s="2">
        <f t="shared" si="17"/>
        <v>138833.33333333334</v>
      </c>
    </row>
    <row r="62" spans="1:8" x14ac:dyDescent="0.25">
      <c r="A62" s="6" t="s">
        <v>107</v>
      </c>
      <c r="B62" s="2">
        <f>B18/(B12*6)</f>
        <v>13545.398608098989</v>
      </c>
      <c r="C62" s="19">
        <f t="shared" ref="C62:H62" si="18">C18/(C12*6)</f>
        <v>11000</v>
      </c>
      <c r="D62" s="2">
        <f t="shared" si="18"/>
        <v>17000</v>
      </c>
      <c r="E62" s="2">
        <f t="shared" si="18"/>
        <v>40000</v>
      </c>
      <c r="F62" s="2">
        <f t="shared" si="18"/>
        <v>56157.29338912134</v>
      </c>
      <c r="G62" s="2">
        <f t="shared" si="18"/>
        <v>60000</v>
      </c>
      <c r="H62" s="2" t="e">
        <f t="shared" si="18"/>
        <v>#DIV/0!</v>
      </c>
    </row>
    <row r="63" spans="1:8" x14ac:dyDescent="0.25">
      <c r="A63" s="6" t="s">
        <v>41</v>
      </c>
      <c r="B63" s="4">
        <f t="shared" ref="B63:H63" si="19">(B61/B62)*B46</f>
        <v>75.239893580317855</v>
      </c>
      <c r="C63" s="21">
        <f t="shared" si="19"/>
        <v>71.259540993821062</v>
      </c>
      <c r="D63" s="4">
        <f t="shared" si="19"/>
        <v>126.77333333333333</v>
      </c>
      <c r="E63" s="4">
        <f t="shared" si="19"/>
        <v>86.304347826086953</v>
      </c>
      <c r="F63" s="4">
        <f t="shared" si="19"/>
        <v>51.154137165830321</v>
      </c>
      <c r="G63" s="4">
        <f t="shared" si="19"/>
        <v>70.38095238095238</v>
      </c>
      <c r="H63" s="4" t="e">
        <f t="shared" si="19"/>
        <v>#DIV/0!</v>
      </c>
    </row>
    <row r="64" spans="1:8" x14ac:dyDescent="0.25">
      <c r="A64" s="6" t="s">
        <v>125</v>
      </c>
      <c r="B64" s="2">
        <f>B17/B11</f>
        <v>83581.414412400321</v>
      </c>
      <c r="C64" s="2">
        <f t="shared" ref="C64:H64" si="20">C17/C11</f>
        <v>66000</v>
      </c>
      <c r="D64" s="2">
        <f t="shared" si="20"/>
        <v>102000</v>
      </c>
      <c r="E64" s="2">
        <f t="shared" si="20"/>
        <v>240000</v>
      </c>
      <c r="F64" s="2">
        <f t="shared" si="20"/>
        <v>390000</v>
      </c>
      <c r="G64" s="2">
        <f t="shared" si="20"/>
        <v>360000</v>
      </c>
      <c r="H64" s="2">
        <f t="shared" si="20"/>
        <v>833000</v>
      </c>
    </row>
    <row r="65" spans="1:8" x14ac:dyDescent="0.25">
      <c r="A65" s="6" t="s">
        <v>126</v>
      </c>
      <c r="B65" s="2">
        <f>B18/B12</f>
        <v>81272.391648593941</v>
      </c>
      <c r="C65" s="2">
        <f t="shared" ref="C65:H65" si="21">C18/C12</f>
        <v>66000</v>
      </c>
      <c r="D65" s="2">
        <f t="shared" si="21"/>
        <v>102000.00000000001</v>
      </c>
      <c r="E65" s="2">
        <f t="shared" si="21"/>
        <v>240000</v>
      </c>
      <c r="F65" s="2">
        <f t="shared" si="21"/>
        <v>336943.76033472799</v>
      </c>
      <c r="G65" s="2">
        <f t="shared" si="21"/>
        <v>360000</v>
      </c>
      <c r="H65" s="2" t="e">
        <f t="shared" si="21"/>
        <v>#DIV/0!</v>
      </c>
    </row>
    <row r="66" spans="1:8" x14ac:dyDescent="0.25">
      <c r="B66" s="1"/>
      <c r="C66" s="1"/>
      <c r="D66" s="1"/>
    </row>
    <row r="67" spans="1:8" x14ac:dyDescent="0.25">
      <c r="A67" s="6" t="s">
        <v>42</v>
      </c>
      <c r="B67" s="1"/>
      <c r="C67" s="1"/>
      <c r="D67" s="1"/>
    </row>
    <row r="68" spans="1:8" x14ac:dyDescent="0.25">
      <c r="A68" s="6" t="s">
        <v>43</v>
      </c>
      <c r="B68" s="4">
        <f>(B24/B23)*100</f>
        <v>105.05452439778067</v>
      </c>
      <c r="C68" s="4"/>
      <c r="D68" s="4"/>
      <c r="E68" s="4"/>
      <c r="F68" s="4"/>
    </row>
    <row r="69" spans="1:8" x14ac:dyDescent="0.25">
      <c r="A69" s="6" t="s">
        <v>44</v>
      </c>
      <c r="B69" s="4">
        <f>(B18/B24)*100</f>
        <v>68.665848825044193</v>
      </c>
      <c r="C69" s="4"/>
      <c r="D69" s="4"/>
      <c r="E69" s="4"/>
      <c r="F69" s="4"/>
    </row>
    <row r="70" spans="1:8" ht="15.75" thickBot="1" x14ac:dyDescent="0.3">
      <c r="A70" s="12"/>
      <c r="B70" s="12"/>
      <c r="C70" s="12"/>
      <c r="D70" s="12"/>
      <c r="E70" s="12"/>
      <c r="F70" s="12"/>
      <c r="G70" s="12"/>
      <c r="H70" s="12"/>
    </row>
    <row r="71" spans="1:8" ht="15.75" thickTop="1" x14ac:dyDescent="0.25"/>
    <row r="72" spans="1:8" x14ac:dyDescent="0.25">
      <c r="A72" s="13" t="s">
        <v>101</v>
      </c>
    </row>
    <row r="73" spans="1:8" x14ac:dyDescent="0.25">
      <c r="A73" s="18" t="s">
        <v>105</v>
      </c>
    </row>
    <row r="74" spans="1:8" x14ac:dyDescent="0.25">
      <c r="A74" s="6" t="s">
        <v>102</v>
      </c>
      <c r="B74" s="14"/>
      <c r="C74" s="14"/>
    </row>
    <row r="75" spans="1:8" x14ac:dyDescent="0.25">
      <c r="A75" s="6" t="s">
        <v>103</v>
      </c>
    </row>
    <row r="76" spans="1:8" x14ac:dyDescent="0.25">
      <c r="A76" s="6" t="s">
        <v>104</v>
      </c>
    </row>
    <row r="78" spans="1:8" x14ac:dyDescent="0.25">
      <c r="A78" s="9" t="s">
        <v>116</v>
      </c>
    </row>
    <row r="79" spans="1:8" x14ac:dyDescent="0.25">
      <c r="A79" s="6" t="s">
        <v>117</v>
      </c>
    </row>
    <row r="80" spans="1:8" x14ac:dyDescent="0.25">
      <c r="A80" s="29" t="s">
        <v>118</v>
      </c>
    </row>
    <row r="81" spans="1:1" x14ac:dyDescent="0.25">
      <c r="A81" s="29" t="s">
        <v>119</v>
      </c>
    </row>
    <row r="82" spans="1:1" x14ac:dyDescent="0.25">
      <c r="A82" s="29" t="s">
        <v>120</v>
      </c>
    </row>
    <row r="83" spans="1:1" x14ac:dyDescent="0.25">
      <c r="A83" s="29" t="s">
        <v>121</v>
      </c>
    </row>
    <row r="84" spans="1:1" x14ac:dyDescent="0.25">
      <c r="A84" s="29" t="s">
        <v>122</v>
      </c>
    </row>
  </sheetData>
  <mergeCells count="4">
    <mergeCell ref="A4:A5"/>
    <mergeCell ref="B4:B5"/>
    <mergeCell ref="A2:G2"/>
    <mergeCell ref="C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4"/>
  <sheetViews>
    <sheetView tabSelected="1" topLeftCell="A55" zoomScale="90" zoomScaleNormal="90" workbookViewId="0"/>
  </sheetViews>
  <sheetFormatPr baseColWidth="10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6" width="16.28515625" style="6" bestFit="1" customWidth="1"/>
    <col min="7" max="8" width="15" style="6" bestFit="1" customWidth="1"/>
    <col min="9" max="16384" width="11.42578125" style="6"/>
  </cols>
  <sheetData>
    <row r="2" spans="1:8" ht="15.75" x14ac:dyDescent="0.25">
      <c r="A2" s="57" t="s">
        <v>113</v>
      </c>
      <c r="B2" s="57"/>
      <c r="C2" s="57"/>
      <c r="D2" s="57"/>
      <c r="E2" s="57"/>
      <c r="F2" s="57"/>
      <c r="G2" s="57"/>
    </row>
    <row r="4" spans="1:8" x14ac:dyDescent="0.25">
      <c r="A4" s="53" t="s">
        <v>0</v>
      </c>
      <c r="B4" s="59" t="s">
        <v>1</v>
      </c>
      <c r="C4" s="58" t="s">
        <v>2</v>
      </c>
      <c r="D4" s="58"/>
      <c r="E4" s="58"/>
      <c r="F4" s="58"/>
      <c r="G4" s="58"/>
      <c r="H4" s="58"/>
    </row>
    <row r="5" spans="1:8" ht="31.5" customHeight="1" thickBot="1" x14ac:dyDescent="0.3">
      <c r="A5" s="54"/>
      <c r="B5" s="60"/>
      <c r="C5" s="20" t="s">
        <v>100</v>
      </c>
      <c r="D5" s="7" t="s">
        <v>3</v>
      </c>
      <c r="E5" s="7" t="s">
        <v>4</v>
      </c>
      <c r="F5" s="8" t="s">
        <v>46</v>
      </c>
      <c r="G5" s="8" t="s">
        <v>45</v>
      </c>
      <c r="H5" s="8" t="s">
        <v>47</v>
      </c>
    </row>
    <row r="6" spans="1:8" ht="15.75" thickTop="1" x14ac:dyDescent="0.25"/>
    <row r="7" spans="1:8" x14ac:dyDescent="0.25">
      <c r="A7" s="9" t="s">
        <v>5</v>
      </c>
    </row>
    <row r="9" spans="1:8" x14ac:dyDescent="0.25">
      <c r="A9" s="6" t="s">
        <v>6</v>
      </c>
    </row>
    <row r="10" spans="1:8" x14ac:dyDescent="0.25">
      <c r="A10" s="3" t="s">
        <v>58</v>
      </c>
      <c r="B10" s="2">
        <f>SUM(C10:H10)</f>
        <v>79866.962962962978</v>
      </c>
      <c r="C10" s="19">
        <f>AVERAGE(+'I Trimestre'!C10:C10,+'II Trimestre'!C10:C10,+'III Trimestre'!C10:C10)</f>
        <v>72164.222222222234</v>
      </c>
      <c r="D10" s="19">
        <f>AVERAGE(+'I Trimestre'!D10,+'II Trimestre'!D10,+'III Trimestre'!D10)</f>
        <v>4367.7777777777774</v>
      </c>
      <c r="E10" s="19">
        <f>AVERAGE('I Trimestre'!E10,+'II Trimestre'!E10,+'III Trimestre'!E10)</f>
        <v>1501.1111111111111</v>
      </c>
      <c r="F10" s="19">
        <f>AVERAGE(+'I Trimestre'!F10,+'II Trimestre'!F10,+'III Trimestre'!F10)</f>
        <v>1315.9259259259259</v>
      </c>
      <c r="G10" s="19">
        <f>AVERAGE(+'I Trimestre'!G10,+'II Trimestre'!G10,+'III Trimestre'!G10)</f>
        <v>517.92592592592587</v>
      </c>
      <c r="H10" s="19">
        <f>AVERAGE('I Trimestre'!H10,+'II Trimestre'!H10,+'III Trimestre'!H10)</f>
        <v>0</v>
      </c>
    </row>
    <row r="11" spans="1:8" x14ac:dyDescent="0.25">
      <c r="A11" s="3" t="s">
        <v>59</v>
      </c>
      <c r="B11" s="2">
        <f>SUM(C11:H11)</f>
        <v>87277.666666666672</v>
      </c>
      <c r="C11" s="19">
        <f>AVERAGE(+'I Trimestre'!C11:C11,+'II Trimestre'!C11:C11,+'III Trimestre'!C11:C11)</f>
        <v>77036</v>
      </c>
      <c r="D11" s="19">
        <f>AVERAGE(+'I Trimestre'!D11,+'II Trimestre'!D11,+'III Trimestre'!D11)</f>
        <v>5000</v>
      </c>
      <c r="E11" s="19">
        <f>AVERAGE('I Trimestre'!E11,+'II Trimestre'!E11,+'III Trimestre'!E11)</f>
        <v>2300</v>
      </c>
      <c r="F11" s="19">
        <f>AVERAGE(+'I Trimestre'!F11,+'II Trimestre'!F11,+'III Trimestre'!F11)</f>
        <v>2100</v>
      </c>
      <c r="G11" s="19">
        <f>AVERAGE(+'I Trimestre'!G11,+'II Trimestre'!G11,+'III Trimestre'!G11)</f>
        <v>700</v>
      </c>
      <c r="H11" s="19">
        <f>AVERAGE('I Trimestre'!H11,+'II Trimestre'!H11,+'III Trimestre'!H11)</f>
        <v>141.66666666666666</v>
      </c>
    </row>
    <row r="12" spans="1:8" x14ac:dyDescent="0.25">
      <c r="A12" s="3" t="s">
        <v>60</v>
      </c>
      <c r="B12" s="2">
        <f>SUM(C12:H12)</f>
        <v>75213.666666666657</v>
      </c>
      <c r="C12" s="19">
        <f>AVERAGE(+'I Trimestre'!C12:C12,+'II Trimestre'!C12:C12,+'III Trimestre'!C12:C12)</f>
        <v>65666.777777777766</v>
      </c>
      <c r="D12" s="19">
        <f>AVERAGE(+'I Trimestre'!D12:D12,+'II Trimestre'!D12:D12,+'III Trimestre'!D12:D12)</f>
        <v>6226</v>
      </c>
      <c r="E12" s="19">
        <f>AVERAGE(+'I Trimestre'!E12:E12,+'II Trimestre'!E12:E12,+'III Trimestre'!E12:E12)</f>
        <v>1783.7777777777776</v>
      </c>
      <c r="F12" s="19">
        <f>AVERAGE(+'I Trimestre'!F12:F12,+'II Trimestre'!F12:F12,+'III Trimestre'!F12:F12)</f>
        <v>1004.2222222222223</v>
      </c>
      <c r="G12" s="19">
        <f>AVERAGE(+'I Trimestre'!G12:G12,+'II Trimestre'!G12:G12,+'III Trimestre'!G12:G12)</f>
        <v>532.8888888888888</v>
      </c>
      <c r="H12" s="19">
        <f>AVERAGE(+'I Trimestre'!H12:H12,+'II Trimestre'!H12:H12,+'III Trimestre'!H12:H12)</f>
        <v>0</v>
      </c>
    </row>
    <row r="13" spans="1:8" x14ac:dyDescent="0.25">
      <c r="A13" s="3" t="s">
        <v>10</v>
      </c>
      <c r="B13" s="2">
        <f>SUM(C13:H13)</f>
        <v>87535.916666666672</v>
      </c>
      <c r="C13" s="19">
        <f>1827+75209</f>
        <v>77036</v>
      </c>
      <c r="D13" s="19">
        <f>59999/12</f>
        <v>4999.916666666667</v>
      </c>
      <c r="E13" s="19">
        <f>27600/12</f>
        <v>2300</v>
      </c>
      <c r="F13" s="19">
        <f>25200/12</f>
        <v>2100</v>
      </c>
      <c r="G13" s="19">
        <f>8400/12</f>
        <v>700</v>
      </c>
      <c r="H13" s="19">
        <v>400</v>
      </c>
    </row>
    <row r="14" spans="1:8" x14ac:dyDescent="0.25">
      <c r="C14" s="10"/>
    </row>
    <row r="15" spans="1:8" x14ac:dyDescent="0.25">
      <c r="A15" s="5" t="s">
        <v>11</v>
      </c>
    </row>
    <row r="16" spans="1:8" x14ac:dyDescent="0.25">
      <c r="A16" s="3" t="s">
        <v>58</v>
      </c>
      <c r="B16" s="2">
        <f>SUM(C16:H16)</f>
        <v>15546404799.5</v>
      </c>
      <c r="C16" s="19">
        <f>+'I Trimestre'!C16:C16+'II Trimestre'!C16:C16+'III Trimestre'!C16:C16</f>
        <v>11843304000</v>
      </c>
      <c r="D16" s="2">
        <f>+'I Trimestre'!D16+'II Trimestre'!D16+'III Trimestre'!D16</f>
        <v>1100886000</v>
      </c>
      <c r="E16" s="2">
        <f>+'I Trimestre'!E16+'II Trimestre'!E16+'III Trimestre'!E16</f>
        <v>989040000</v>
      </c>
      <c r="F16" s="2">
        <f>+'I Trimestre'!F16+'II Trimestre'!F16+'III Trimestre'!F16</f>
        <v>1144814799.5</v>
      </c>
      <c r="G16" s="2">
        <f>+'I Trimestre'!G16+'II Trimestre'!G16+'III Trimestre'!G16</f>
        <v>468360000</v>
      </c>
      <c r="H16" s="2">
        <f>+'I Trimestre'!H16+'II Trimestre'!H16+'III Trimestre'!H16</f>
        <v>0</v>
      </c>
    </row>
    <row r="17" spans="1:8" x14ac:dyDescent="0.25">
      <c r="A17" s="3" t="s">
        <v>59</v>
      </c>
      <c r="B17" s="2">
        <f>SUM(C17:H17)</f>
        <v>11055139000</v>
      </c>
      <c r="C17" s="19">
        <f>+'I Trimestre'!C17:C17+'II Trimestre'!C17:C17+'III Trimestre'!C17:C17</f>
        <v>7626564000</v>
      </c>
      <c r="D17" s="2">
        <f>+'I Trimestre'!D17+'II Trimestre'!D17+'III Trimestre'!D17</f>
        <v>765000000</v>
      </c>
      <c r="E17" s="2">
        <f>+'I Trimestre'!E17+'II Trimestre'!E17+'III Trimestre'!E17</f>
        <v>828000000</v>
      </c>
      <c r="F17" s="2">
        <f>+'I Trimestre'!F17+'II Trimestre'!F17+'III Trimestre'!F17</f>
        <v>1228500000</v>
      </c>
      <c r="G17" s="2">
        <f>+'I Trimestre'!G17+'II Trimestre'!G17+'III Trimestre'!G17</f>
        <v>378000000</v>
      </c>
      <c r="H17" s="2">
        <f>+'I Trimestre'!H17+'II Trimestre'!H17+'III Trimestre'!H17</f>
        <v>229075000</v>
      </c>
    </row>
    <row r="18" spans="1:8" x14ac:dyDescent="0.25">
      <c r="A18" s="3" t="s">
        <v>60</v>
      </c>
      <c r="B18" s="2">
        <f>SUM(C18:H18)</f>
        <v>8952763518.460001</v>
      </c>
      <c r="C18" s="19">
        <f>+'I Trimestre'!C18:C18+'II Trimestre'!C18:C18+'III Trimestre'!C18:C18</f>
        <v>6501011000</v>
      </c>
      <c r="D18" s="2">
        <f>+'I Trimestre'!D18+'II Trimestre'!D18+'III Trimestre'!D18</f>
        <v>952578000</v>
      </c>
      <c r="E18" s="2">
        <f>+'I Trimestre'!E18+'II Trimestre'!E18+'III Trimestre'!E18</f>
        <v>642160000</v>
      </c>
      <c r="F18" s="2">
        <f>+'I Trimestre'!F18+'II Trimestre'!F18+'III Trimestre'!F18</f>
        <v>569254518.46000028</v>
      </c>
      <c r="G18" s="2">
        <f>+'I Trimestre'!G18+'II Trimestre'!G18+'III Trimestre'!G18</f>
        <v>287760000</v>
      </c>
      <c r="H18" s="2">
        <f>+'I Trimestre'!H18+'II Trimestre'!H18+'III Trimestre'!H18</f>
        <v>0</v>
      </c>
    </row>
    <row r="19" spans="1:8" x14ac:dyDescent="0.25">
      <c r="A19" s="3" t="s">
        <v>10</v>
      </c>
      <c r="B19" s="2">
        <f>SUM(C19:H19)</f>
        <v>14913727000</v>
      </c>
      <c r="C19" s="19">
        <f>241164000+9927588000</f>
        <v>10168752000</v>
      </c>
      <c r="D19" s="2">
        <v>1020000000</v>
      </c>
      <c r="E19" s="2">
        <v>1104000000</v>
      </c>
      <c r="F19" s="2">
        <v>1638000000</v>
      </c>
      <c r="G19" s="2">
        <v>504000000</v>
      </c>
      <c r="H19" s="2">
        <v>478975000</v>
      </c>
    </row>
    <row r="20" spans="1:8" x14ac:dyDescent="0.25">
      <c r="A20" s="3" t="s">
        <v>61</v>
      </c>
      <c r="B20" s="2">
        <f>SUM(C20:H20)</f>
        <v>8952763518.460001</v>
      </c>
      <c r="C20" s="19">
        <f>C18</f>
        <v>6501011000</v>
      </c>
      <c r="D20" s="2">
        <f>D18</f>
        <v>952578000</v>
      </c>
      <c r="E20" s="2">
        <f t="shared" ref="E20:H20" si="0">E18</f>
        <v>642160000</v>
      </c>
      <c r="F20" s="2">
        <f t="shared" si="0"/>
        <v>569254518.46000028</v>
      </c>
      <c r="G20" s="2">
        <f t="shared" si="0"/>
        <v>287760000</v>
      </c>
      <c r="H20" s="2">
        <f t="shared" si="0"/>
        <v>0</v>
      </c>
    </row>
    <row r="21" spans="1:8" x14ac:dyDescent="0.25">
      <c r="B21" s="2"/>
      <c r="C21" s="2"/>
      <c r="D21" s="2"/>
    </row>
    <row r="22" spans="1:8" x14ac:dyDescent="0.25">
      <c r="A22" s="5" t="s">
        <v>13</v>
      </c>
      <c r="B22" s="2"/>
      <c r="C22" s="2"/>
      <c r="D22" s="2"/>
    </row>
    <row r="23" spans="1:8" x14ac:dyDescent="0.25">
      <c r="A23" s="3" t="s">
        <v>59</v>
      </c>
      <c r="B23" s="4">
        <f>B17</f>
        <v>11055139000</v>
      </c>
    </row>
    <row r="24" spans="1:8" x14ac:dyDescent="0.25">
      <c r="A24" s="3" t="s">
        <v>60</v>
      </c>
      <c r="B24" s="4">
        <f>+'I Trimestre'!B24+'II Trimestre'!B24+'III Trimestre'!B24</f>
        <v>10331889311.73</v>
      </c>
    </row>
    <row r="25" spans="1:8" x14ac:dyDescent="0.25">
      <c r="B25" s="4"/>
      <c r="C25" s="4"/>
      <c r="D25" s="4"/>
      <c r="E25" s="4"/>
      <c r="F25" s="4"/>
      <c r="G25" s="4"/>
      <c r="H25" s="4"/>
    </row>
    <row r="26" spans="1:8" x14ac:dyDescent="0.25">
      <c r="A26" s="6" t="s">
        <v>14</v>
      </c>
      <c r="B26" s="4"/>
      <c r="C26" s="4"/>
      <c r="D26" s="4"/>
      <c r="E26" s="4"/>
      <c r="F26" s="4"/>
      <c r="G26" s="4"/>
      <c r="H26" s="4"/>
    </row>
    <row r="27" spans="1:8" x14ac:dyDescent="0.25">
      <c r="A27" s="6" t="s">
        <v>62</v>
      </c>
      <c r="B27" s="16">
        <v>1.39</v>
      </c>
      <c r="C27" s="22">
        <v>1.39</v>
      </c>
      <c r="D27" s="16">
        <v>1.39</v>
      </c>
      <c r="E27" s="16">
        <v>1.39</v>
      </c>
      <c r="F27" s="16">
        <v>1.39</v>
      </c>
      <c r="G27" s="16">
        <v>1.39</v>
      </c>
      <c r="H27" s="16">
        <v>1.39</v>
      </c>
    </row>
    <row r="28" spans="1:8" x14ac:dyDescent="0.25">
      <c r="A28" s="6" t="s">
        <v>63</v>
      </c>
      <c r="B28" s="16">
        <v>1.46</v>
      </c>
      <c r="C28" s="22">
        <v>1.46</v>
      </c>
      <c r="D28" s="16">
        <v>1.46</v>
      </c>
      <c r="E28" s="16">
        <v>1.46</v>
      </c>
      <c r="F28" s="16">
        <v>1.46</v>
      </c>
      <c r="G28" s="16">
        <v>1.46</v>
      </c>
      <c r="H28" s="16">
        <v>1.46</v>
      </c>
    </row>
    <row r="29" spans="1:8" x14ac:dyDescent="0.25">
      <c r="A29" s="3" t="s">
        <v>17</v>
      </c>
      <c r="B29" s="28">
        <f>SUM(C29:F29)</f>
        <v>259781</v>
      </c>
      <c r="C29" s="23">
        <v>223258</v>
      </c>
      <c r="D29" s="19">
        <v>8954</v>
      </c>
      <c r="E29" s="15">
        <v>8954</v>
      </c>
      <c r="F29" s="19">
        <v>18615</v>
      </c>
      <c r="G29" s="19" t="s">
        <v>115</v>
      </c>
      <c r="H29" s="6" t="s">
        <v>115</v>
      </c>
    </row>
    <row r="31" spans="1:8" x14ac:dyDescent="0.25">
      <c r="A31" s="6" t="s">
        <v>18</v>
      </c>
    </row>
    <row r="32" spans="1:8" x14ac:dyDescent="0.25">
      <c r="A32" s="6" t="s">
        <v>64</v>
      </c>
      <c r="B32" s="2">
        <f t="shared" ref="B32:F32" si="1">B16/B27</f>
        <v>11184463884.532375</v>
      </c>
      <c r="C32" s="19">
        <f t="shared" si="1"/>
        <v>8520362589.9280586</v>
      </c>
      <c r="D32" s="2">
        <f t="shared" si="1"/>
        <v>792004316.5467627</v>
      </c>
      <c r="E32" s="2">
        <f t="shared" si="1"/>
        <v>711539568.3453238</v>
      </c>
      <c r="F32" s="2">
        <f t="shared" si="1"/>
        <v>823607769.42446053</v>
      </c>
      <c r="G32" s="2">
        <f>G16/G27</f>
        <v>336949640.28776979</v>
      </c>
      <c r="H32" s="2">
        <f>H16/H27</f>
        <v>0</v>
      </c>
    </row>
    <row r="33" spans="1:8" x14ac:dyDescent="0.25">
      <c r="A33" s="6" t="s">
        <v>65</v>
      </c>
      <c r="B33" s="2">
        <f t="shared" ref="B33:F33" si="2">B18/B28</f>
        <v>6132029807.1643848</v>
      </c>
      <c r="C33" s="19">
        <f t="shared" si="2"/>
        <v>4452747260.2739725</v>
      </c>
      <c r="D33" s="2">
        <f t="shared" si="2"/>
        <v>652450684.93150687</v>
      </c>
      <c r="E33" s="2">
        <f t="shared" si="2"/>
        <v>439835616.43835616</v>
      </c>
      <c r="F33" s="2">
        <f t="shared" si="2"/>
        <v>389900355.10958922</v>
      </c>
      <c r="G33" s="2">
        <f>G18/G28</f>
        <v>197095890.41095892</v>
      </c>
      <c r="H33" s="2">
        <f>H18/H28</f>
        <v>0</v>
      </c>
    </row>
    <row r="34" spans="1:8" x14ac:dyDescent="0.25">
      <c r="A34" s="6" t="s">
        <v>66</v>
      </c>
      <c r="B34" s="2">
        <f t="shared" ref="B34:F34" si="3">B32/B10</f>
        <v>140038.67769103716</v>
      </c>
      <c r="C34" s="19">
        <f t="shared" si="3"/>
        <v>118069.06979043558</v>
      </c>
      <c r="D34" s="2">
        <f t="shared" si="3"/>
        <v>181328.89465583477</v>
      </c>
      <c r="E34" s="2">
        <f t="shared" si="3"/>
        <v>474008.59475262131</v>
      </c>
      <c r="F34" s="2">
        <f t="shared" si="3"/>
        <v>625876.9989997308</v>
      </c>
      <c r="G34" s="2">
        <f>G32/G10</f>
        <v>650574.96337026497</v>
      </c>
      <c r="H34" s="2" t="e">
        <f>H32/H10</f>
        <v>#DIV/0!</v>
      </c>
    </row>
    <row r="35" spans="1:8" x14ac:dyDescent="0.25">
      <c r="A35" s="6" t="s">
        <v>67</v>
      </c>
      <c r="B35" s="2">
        <f>B33/B12</f>
        <v>81528.132837087047</v>
      </c>
      <c r="C35" s="19">
        <f>C33/C12</f>
        <v>67808.219178082203</v>
      </c>
      <c r="D35" s="2">
        <f>D33/D12</f>
        <v>104794.52054794521</v>
      </c>
      <c r="E35" s="2">
        <f>E33/E12</f>
        <v>246575.34246575343</v>
      </c>
      <c r="F35" s="2">
        <f t="shared" ref="F35:H35" si="4">F33/F12</f>
        <v>388261.03075750195</v>
      </c>
      <c r="G35" s="2">
        <f t="shared" si="4"/>
        <v>369863.01369863021</v>
      </c>
      <c r="H35" s="2" t="e">
        <f t="shared" si="4"/>
        <v>#DIV/0!</v>
      </c>
    </row>
    <row r="37" spans="1:8" x14ac:dyDescent="0.25">
      <c r="A37" s="9" t="s">
        <v>23</v>
      </c>
    </row>
    <row r="39" spans="1:8" x14ac:dyDescent="0.25">
      <c r="A39" s="6" t="s">
        <v>24</v>
      </c>
    </row>
    <row r="40" spans="1:8" x14ac:dyDescent="0.25">
      <c r="A40" s="6" t="s">
        <v>25</v>
      </c>
      <c r="B40" s="21">
        <f>(B11/B29)*100</f>
        <v>33.596632034931986</v>
      </c>
      <c r="C40" s="21">
        <f>(C11/C29)*100</f>
        <v>34.505370468247499</v>
      </c>
      <c r="D40" s="21">
        <f t="shared" ref="D40:H40" si="5">(D11/D29)*100</f>
        <v>55.840964931874026</v>
      </c>
      <c r="E40" s="21">
        <f t="shared" si="5"/>
        <v>25.686843868662052</v>
      </c>
      <c r="F40" s="21">
        <f t="shared" si="5"/>
        <v>11.281224818694602</v>
      </c>
      <c r="G40" s="21" t="e">
        <f t="shared" si="5"/>
        <v>#VALUE!</v>
      </c>
      <c r="H40" s="21" t="e">
        <f t="shared" si="5"/>
        <v>#VALUE!</v>
      </c>
    </row>
    <row r="41" spans="1:8" x14ac:dyDescent="0.25">
      <c r="A41" s="6" t="s">
        <v>26</v>
      </c>
      <c r="B41" s="21">
        <f>(B12/B29)*100</f>
        <v>28.952720432466833</v>
      </c>
      <c r="C41" s="21">
        <f>(C12/C29)*100</f>
        <v>29.412956211100056</v>
      </c>
      <c r="D41" s="21">
        <f t="shared" ref="D41:H41" si="6">(D12/D29)*100</f>
        <v>69.533169533169541</v>
      </c>
      <c r="E41" s="21">
        <f t="shared" si="6"/>
        <v>19.921574467029011</v>
      </c>
      <c r="F41" s="21">
        <f t="shared" si="6"/>
        <v>5.3946936461037991</v>
      </c>
      <c r="G41" s="21" t="e">
        <f t="shared" si="6"/>
        <v>#VALUE!</v>
      </c>
      <c r="H41" s="21" t="e">
        <f t="shared" si="6"/>
        <v>#VALUE!</v>
      </c>
    </row>
    <row r="43" spans="1:8" x14ac:dyDescent="0.25">
      <c r="A43" s="6" t="s">
        <v>27</v>
      </c>
    </row>
    <row r="44" spans="1:8" x14ac:dyDescent="0.25">
      <c r="A44" s="6" t="s">
        <v>28</v>
      </c>
      <c r="B44" s="4">
        <f t="shared" ref="B44:F44" si="7">B12/B11*100</f>
        <v>86.177448984658142</v>
      </c>
      <c r="C44" s="21">
        <f t="shared" si="7"/>
        <v>85.241676330258272</v>
      </c>
      <c r="D44" s="4">
        <f t="shared" si="7"/>
        <v>124.52000000000001</v>
      </c>
      <c r="E44" s="4">
        <f t="shared" si="7"/>
        <v>77.555555555555543</v>
      </c>
      <c r="F44" s="4">
        <f t="shared" si="7"/>
        <v>47.820105820105823</v>
      </c>
      <c r="G44" s="4">
        <f>G12/G11*100</f>
        <v>76.126984126984112</v>
      </c>
      <c r="H44" s="4">
        <f>H12/H11*100</f>
        <v>0</v>
      </c>
    </row>
    <row r="45" spans="1:8" x14ac:dyDescent="0.25">
      <c r="A45" s="6" t="s">
        <v>29</v>
      </c>
      <c r="B45" s="4">
        <f t="shared" ref="B45:F45" si="8">B18/B17*100</f>
        <v>80.982821821236271</v>
      </c>
      <c r="C45" s="21">
        <f t="shared" si="8"/>
        <v>85.241676330258286</v>
      </c>
      <c r="D45" s="4">
        <f t="shared" si="8"/>
        <v>124.52000000000001</v>
      </c>
      <c r="E45" s="4">
        <f t="shared" si="8"/>
        <v>77.555555555555557</v>
      </c>
      <c r="F45" s="4">
        <f t="shared" si="8"/>
        <v>46.337364140008162</v>
      </c>
      <c r="G45" s="4">
        <f>G18/G17*100</f>
        <v>76.126984126984127</v>
      </c>
      <c r="H45" s="4">
        <f>H18/H17*100</f>
        <v>0</v>
      </c>
    </row>
    <row r="46" spans="1:8" x14ac:dyDescent="0.25">
      <c r="A46" s="6" t="s">
        <v>30</v>
      </c>
      <c r="B46" s="4">
        <f t="shared" ref="B46:F46" si="9">AVERAGE(B44:B45)</f>
        <v>83.580135402947207</v>
      </c>
      <c r="C46" s="21">
        <f t="shared" si="9"/>
        <v>85.241676330258286</v>
      </c>
      <c r="D46" s="4">
        <f t="shared" si="9"/>
        <v>124.52000000000001</v>
      </c>
      <c r="E46" s="4">
        <f t="shared" si="9"/>
        <v>77.555555555555543</v>
      </c>
      <c r="F46" s="4">
        <f t="shared" si="9"/>
        <v>47.078734980056993</v>
      </c>
      <c r="G46" s="4">
        <f>AVERAGE(G44:G45)</f>
        <v>76.126984126984127</v>
      </c>
      <c r="H46" s="4">
        <f>AVERAGE(H44:H45)</f>
        <v>0</v>
      </c>
    </row>
    <row r="47" spans="1:8" x14ac:dyDescent="0.25">
      <c r="B47" s="1"/>
      <c r="C47" s="1"/>
      <c r="D47" s="1"/>
    </row>
    <row r="48" spans="1:8" x14ac:dyDescent="0.25">
      <c r="A48" s="6" t="s">
        <v>31</v>
      </c>
    </row>
    <row r="49" spans="1:8" x14ac:dyDescent="0.25">
      <c r="A49" s="6" t="s">
        <v>32</v>
      </c>
      <c r="B49" s="4">
        <f t="shared" ref="B49:F49" si="10">B12/B13*100</f>
        <v>85.923206759891883</v>
      </c>
      <c r="C49" s="21">
        <f t="shared" si="10"/>
        <v>85.241676330258272</v>
      </c>
      <c r="D49" s="4">
        <f t="shared" si="10"/>
        <v>124.5220753679228</v>
      </c>
      <c r="E49" s="4">
        <f t="shared" si="10"/>
        <v>77.555555555555543</v>
      </c>
      <c r="F49" s="4">
        <f t="shared" si="10"/>
        <v>47.820105820105823</v>
      </c>
      <c r="G49" s="4">
        <f>G12/G13*100</f>
        <v>76.126984126984112</v>
      </c>
      <c r="H49" s="4">
        <f>H12/H13*100</f>
        <v>0</v>
      </c>
    </row>
    <row r="50" spans="1:8" x14ac:dyDescent="0.25">
      <c r="A50" s="6" t="s">
        <v>33</v>
      </c>
      <c r="B50" s="4">
        <f t="shared" ref="B50:F50" si="11">B18/B19*100</f>
        <v>60.030356720758007</v>
      </c>
      <c r="C50" s="21">
        <f t="shared" si="11"/>
        <v>63.931257247693715</v>
      </c>
      <c r="D50" s="4">
        <f t="shared" si="11"/>
        <v>93.39</v>
      </c>
      <c r="E50" s="4">
        <f t="shared" si="11"/>
        <v>58.166666666666664</v>
      </c>
      <c r="F50" s="4">
        <f t="shared" si="11"/>
        <v>34.753023105006122</v>
      </c>
      <c r="G50" s="4">
        <f>G18/G19*100</f>
        <v>57.095238095238102</v>
      </c>
      <c r="H50" s="4">
        <f>H18/H19*100</f>
        <v>0</v>
      </c>
    </row>
    <row r="51" spans="1:8" x14ac:dyDescent="0.25">
      <c r="A51" s="6" t="s">
        <v>34</v>
      </c>
      <c r="B51" s="4">
        <f t="shared" ref="B51:F51" si="12">(B49+B50)/2</f>
        <v>72.976781740324952</v>
      </c>
      <c r="C51" s="21">
        <f t="shared" si="12"/>
        <v>74.586466788975997</v>
      </c>
      <c r="D51" s="4">
        <f t="shared" si="12"/>
        <v>108.9560376839614</v>
      </c>
      <c r="E51" s="4">
        <f t="shared" si="12"/>
        <v>67.8611111111111</v>
      </c>
      <c r="F51" s="4">
        <f t="shared" si="12"/>
        <v>41.286564462555972</v>
      </c>
      <c r="G51" s="4">
        <f>(G49+G50)/2</f>
        <v>66.611111111111114</v>
      </c>
      <c r="H51" s="4">
        <f>(H49+H50)/2</f>
        <v>0</v>
      </c>
    </row>
    <row r="53" spans="1:8" x14ac:dyDescent="0.25">
      <c r="A53" s="6" t="s">
        <v>35</v>
      </c>
      <c r="B53" s="4">
        <f>B20/B18*100</f>
        <v>100</v>
      </c>
      <c r="C53" s="21">
        <f>C20/C18*100</f>
        <v>100</v>
      </c>
      <c r="D53" s="4">
        <f>D20/D18*100</f>
        <v>100</v>
      </c>
      <c r="E53" s="4">
        <f>E20/E18*100</f>
        <v>100</v>
      </c>
      <c r="F53" s="11" t="s">
        <v>98</v>
      </c>
    </row>
    <row r="55" spans="1:8" x14ac:dyDescent="0.25">
      <c r="A55" s="6" t="s">
        <v>36</v>
      </c>
    </row>
    <row r="56" spans="1:8" x14ac:dyDescent="0.25">
      <c r="A56" s="6" t="s">
        <v>37</v>
      </c>
      <c r="B56" s="4">
        <f t="shared" ref="B56:F56" si="13">((B12/B10)-1)*100</f>
        <v>-5.8263093069586436</v>
      </c>
      <c r="C56" s="21">
        <f t="shared" si="13"/>
        <v>-9.0036921958865701</v>
      </c>
      <c r="D56" s="4">
        <f t="shared" si="13"/>
        <v>42.543881963876885</v>
      </c>
      <c r="E56" s="4">
        <f t="shared" si="13"/>
        <v>18.830495928941502</v>
      </c>
      <c r="F56" s="4">
        <f t="shared" si="13"/>
        <v>-23.687025049254139</v>
      </c>
      <c r="G56" s="4">
        <f>((G12/G10)-1)*100</f>
        <v>2.8890160183066227</v>
      </c>
      <c r="H56" s="4" t="e">
        <f>((H12/H10)-1)*100</f>
        <v>#DIV/0!</v>
      </c>
    </row>
    <row r="57" spans="1:8" x14ac:dyDescent="0.25">
      <c r="A57" s="6" t="s">
        <v>38</v>
      </c>
      <c r="B57" s="4">
        <f t="shared" ref="B57:H57" si="14">((B33/B32)-1)*100</f>
        <v>-45.173681363085151</v>
      </c>
      <c r="C57" s="21">
        <f t="shared" si="14"/>
        <v>-47.739932270751297</v>
      </c>
      <c r="D57" s="4">
        <f t="shared" si="14"/>
        <v>-17.620311998263727</v>
      </c>
      <c r="E57" s="4">
        <f t="shared" si="14"/>
        <v>-38.185360870205955</v>
      </c>
      <c r="F57" s="4">
        <f t="shared" si="14"/>
        <v>-52.659461264911002</v>
      </c>
      <c r="G57" s="4">
        <f t="shared" si="14"/>
        <v>-41.505831481929953</v>
      </c>
      <c r="H57" s="4" t="e">
        <f t="shared" si="14"/>
        <v>#DIV/0!</v>
      </c>
    </row>
    <row r="58" spans="1:8" x14ac:dyDescent="0.25">
      <c r="A58" s="6" t="s">
        <v>39</v>
      </c>
      <c r="B58" s="4">
        <f t="shared" ref="B58:F58" si="15">((B35/B34)-1)*100</f>
        <v>-41.781703325591266</v>
      </c>
      <c r="C58" s="21">
        <f t="shared" si="15"/>
        <v>-42.569023963314777</v>
      </c>
      <c r="D58" s="4">
        <f t="shared" si="15"/>
        <v>-42.207489464463485</v>
      </c>
      <c r="E58" s="4">
        <f t="shared" si="15"/>
        <v>-47.980828787621924</v>
      </c>
      <c r="F58" s="4">
        <f t="shared" si="15"/>
        <v>-37.965282095680763</v>
      </c>
      <c r="G58" s="4">
        <f>((G35/G34)-1)*100</f>
        <v>-43.148286589053967</v>
      </c>
      <c r="H58" s="4" t="e">
        <f>((H35/H34)-1)*100</f>
        <v>#DIV/0!</v>
      </c>
    </row>
    <row r="59" spans="1:8" x14ac:dyDescent="0.25">
      <c r="B59" s="1"/>
      <c r="C59" s="1"/>
      <c r="D59" s="1"/>
    </row>
    <row r="60" spans="1:8" x14ac:dyDescent="0.25">
      <c r="A60" s="6" t="s">
        <v>40</v>
      </c>
    </row>
    <row r="61" spans="1:8" x14ac:dyDescent="0.25">
      <c r="A61" s="6" t="s">
        <v>106</v>
      </c>
      <c r="B61" s="2">
        <f>B17/(B11*9)</f>
        <v>14074.033194186117</v>
      </c>
      <c r="C61" s="19">
        <f t="shared" ref="C61:H61" si="16">C17/(C11*9)</f>
        <v>11000</v>
      </c>
      <c r="D61" s="2">
        <f t="shared" si="16"/>
        <v>17000</v>
      </c>
      <c r="E61" s="2">
        <f t="shared" si="16"/>
        <v>40000</v>
      </c>
      <c r="F61" s="2">
        <f t="shared" si="16"/>
        <v>65000</v>
      </c>
      <c r="G61" s="2">
        <f t="shared" si="16"/>
        <v>60000</v>
      </c>
      <c r="H61" s="2">
        <f t="shared" si="16"/>
        <v>179666.66666666666</v>
      </c>
    </row>
    <row r="62" spans="1:8" x14ac:dyDescent="0.25">
      <c r="A62" s="6" t="s">
        <v>107</v>
      </c>
      <c r="B62" s="2">
        <f>B18/(B12*9)</f>
        <v>13225.674882460786</v>
      </c>
      <c r="C62" s="19">
        <f t="shared" ref="C62:H62" si="17">C18/(C12*9)</f>
        <v>11000.000000000002</v>
      </c>
      <c r="D62" s="2">
        <f t="shared" si="17"/>
        <v>17000</v>
      </c>
      <c r="E62" s="2">
        <f t="shared" si="17"/>
        <v>40000.000000000007</v>
      </c>
      <c r="F62" s="2">
        <f t="shared" si="17"/>
        <v>62984.567211772548</v>
      </c>
      <c r="G62" s="2">
        <f t="shared" si="17"/>
        <v>60000.000000000015</v>
      </c>
      <c r="H62" s="2" t="e">
        <f t="shared" si="17"/>
        <v>#DIV/0!</v>
      </c>
    </row>
    <row r="63" spans="1:8" x14ac:dyDescent="0.25">
      <c r="A63" s="6" t="s">
        <v>41</v>
      </c>
      <c r="B63" s="4">
        <f t="shared" ref="B63:H63" si="18">(B61/B62)*B46</f>
        <v>88.941366734760052</v>
      </c>
      <c r="C63" s="21">
        <f t="shared" si="18"/>
        <v>85.241676330258272</v>
      </c>
      <c r="D63" s="4">
        <f t="shared" si="18"/>
        <v>124.52000000000001</v>
      </c>
      <c r="E63" s="4">
        <f t="shared" si="18"/>
        <v>77.555555555555529</v>
      </c>
      <c r="F63" s="4">
        <f t="shared" si="18"/>
        <v>48.58519966350952</v>
      </c>
      <c r="G63" s="4">
        <f t="shared" si="18"/>
        <v>76.126984126984112</v>
      </c>
      <c r="H63" s="4" t="e">
        <f t="shared" si="18"/>
        <v>#DIV/0!</v>
      </c>
    </row>
    <row r="64" spans="1:8" x14ac:dyDescent="0.25">
      <c r="A64" s="6" t="s">
        <v>127</v>
      </c>
      <c r="B64" s="2">
        <f>B17/B11</f>
        <v>126666.29874767504</v>
      </c>
      <c r="C64" s="2">
        <f t="shared" ref="C64:H64" si="19">C17/C11</f>
        <v>99000</v>
      </c>
      <c r="D64" s="2">
        <f t="shared" si="19"/>
        <v>153000</v>
      </c>
      <c r="E64" s="2">
        <f t="shared" si="19"/>
        <v>360000</v>
      </c>
      <c r="F64" s="2">
        <f t="shared" si="19"/>
        <v>585000</v>
      </c>
      <c r="G64" s="2">
        <f t="shared" si="19"/>
        <v>540000</v>
      </c>
      <c r="H64" s="2">
        <f t="shared" si="19"/>
        <v>1617000</v>
      </c>
    </row>
    <row r="65" spans="1:8" x14ac:dyDescent="0.25">
      <c r="A65" s="6" t="s">
        <v>128</v>
      </c>
      <c r="B65" s="2">
        <f>B18/B12</f>
        <v>119031.07394214706</v>
      </c>
      <c r="C65" s="2">
        <f t="shared" ref="C65:H65" si="20">C18/C12</f>
        <v>99000.000000000015</v>
      </c>
      <c r="D65" s="2">
        <f t="shared" si="20"/>
        <v>153000</v>
      </c>
      <c r="E65" s="2">
        <f t="shared" si="20"/>
        <v>360000.00000000006</v>
      </c>
      <c r="F65" s="2">
        <f t="shared" si="20"/>
        <v>566861.10490595293</v>
      </c>
      <c r="G65" s="2">
        <f t="shared" si="20"/>
        <v>540000.00000000012</v>
      </c>
      <c r="H65" s="2" t="e">
        <f t="shared" si="20"/>
        <v>#DIV/0!</v>
      </c>
    </row>
    <row r="66" spans="1:8" x14ac:dyDescent="0.25">
      <c r="B66" s="1"/>
      <c r="C66" s="1"/>
      <c r="D66" s="1"/>
    </row>
    <row r="67" spans="1:8" x14ac:dyDescent="0.25">
      <c r="A67" s="6" t="s">
        <v>42</v>
      </c>
      <c r="B67" s="1"/>
      <c r="C67" s="1"/>
      <c r="D67" s="1"/>
    </row>
    <row r="68" spans="1:8" x14ac:dyDescent="0.25">
      <c r="A68" s="6" t="s">
        <v>43</v>
      </c>
      <c r="B68" s="4" t="e">
        <f>(B26/B25)*100</f>
        <v>#DIV/0!</v>
      </c>
      <c r="C68" s="4"/>
      <c r="D68" s="4"/>
      <c r="E68" s="4"/>
      <c r="F68" s="4"/>
    </row>
    <row r="69" spans="1:8" x14ac:dyDescent="0.25">
      <c r="A69" s="6" t="s">
        <v>44</v>
      </c>
      <c r="B69" s="4" t="e">
        <f>(B18/B26)*100</f>
        <v>#DIV/0!</v>
      </c>
      <c r="C69" s="4"/>
      <c r="D69" s="4"/>
      <c r="E69" s="4"/>
      <c r="F69" s="4"/>
    </row>
    <row r="70" spans="1:8" ht="15.75" thickBot="1" x14ac:dyDescent="0.3">
      <c r="A70" s="12"/>
      <c r="B70" s="12"/>
      <c r="C70" s="12"/>
      <c r="D70" s="12"/>
      <c r="E70" s="12"/>
      <c r="F70" s="12"/>
      <c r="G70" s="12"/>
      <c r="H70" s="12"/>
    </row>
    <row r="71" spans="1:8" ht="15.75" thickTop="1" x14ac:dyDescent="0.25"/>
    <row r="72" spans="1:8" x14ac:dyDescent="0.25">
      <c r="A72" s="13" t="s">
        <v>101</v>
      </c>
    </row>
    <row r="73" spans="1:8" x14ac:dyDescent="0.25">
      <c r="A73" s="18" t="s">
        <v>105</v>
      </c>
    </row>
    <row r="74" spans="1:8" x14ac:dyDescent="0.25">
      <c r="A74" s="6" t="s">
        <v>102</v>
      </c>
      <c r="B74" s="14"/>
      <c r="C74" s="14"/>
    </row>
    <row r="75" spans="1:8" x14ac:dyDescent="0.25">
      <c r="A75" s="6" t="s">
        <v>103</v>
      </c>
    </row>
    <row r="76" spans="1:8" x14ac:dyDescent="0.25">
      <c r="A76" s="6" t="s">
        <v>104</v>
      </c>
    </row>
    <row r="78" spans="1:8" x14ac:dyDescent="0.25">
      <c r="A78" s="9" t="s">
        <v>116</v>
      </c>
    </row>
    <row r="79" spans="1:8" x14ac:dyDescent="0.25">
      <c r="A79" s="6" t="s">
        <v>117</v>
      </c>
    </row>
    <row r="80" spans="1:8" x14ac:dyDescent="0.25">
      <c r="A80" s="29" t="s">
        <v>118</v>
      </c>
    </row>
    <row r="81" spans="1:1" x14ac:dyDescent="0.25">
      <c r="A81" s="29" t="s">
        <v>119</v>
      </c>
    </row>
    <row r="82" spans="1:1" x14ac:dyDescent="0.25">
      <c r="A82" s="29" t="s">
        <v>120</v>
      </c>
    </row>
    <row r="83" spans="1:1" x14ac:dyDescent="0.25">
      <c r="A83" s="29" t="s">
        <v>121</v>
      </c>
    </row>
    <row r="84" spans="1:1" x14ac:dyDescent="0.25">
      <c r="A84" s="29" t="s">
        <v>122</v>
      </c>
    </row>
  </sheetData>
  <mergeCells count="4">
    <mergeCell ref="A2:G2"/>
    <mergeCell ref="C4:H4"/>
    <mergeCell ref="A4:A5"/>
    <mergeCell ref="B4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4"/>
  <sheetViews>
    <sheetView zoomScale="90" zoomScaleNormal="90" workbookViewId="0">
      <selection activeCell="Q8" sqref="Q8"/>
    </sheetView>
  </sheetViews>
  <sheetFormatPr baseColWidth="10" defaultRowHeight="15" x14ac:dyDescent="0.25"/>
  <cols>
    <col min="1" max="1" width="46.5703125" style="15" customWidth="1"/>
    <col min="2" max="2" width="18.85546875" style="15" bestFit="1" customWidth="1"/>
    <col min="3" max="3" width="20.42578125" style="15" bestFit="1" customWidth="1"/>
    <col min="4" max="6" width="17.5703125" style="15" bestFit="1" customWidth="1"/>
    <col min="7" max="8" width="16" style="15" bestFit="1" customWidth="1"/>
    <col min="9" max="16384" width="11.42578125" style="15"/>
  </cols>
  <sheetData>
    <row r="2" spans="1:8" ht="15.75" x14ac:dyDescent="0.25">
      <c r="A2" s="51" t="s">
        <v>114</v>
      </c>
      <c r="B2" s="51"/>
      <c r="C2" s="51"/>
      <c r="D2" s="51"/>
      <c r="E2" s="51"/>
      <c r="F2" s="51"/>
      <c r="G2" s="51"/>
    </row>
    <row r="4" spans="1:8" x14ac:dyDescent="0.25">
      <c r="A4" s="49" t="s">
        <v>0</v>
      </c>
      <c r="B4" s="61" t="s">
        <v>132</v>
      </c>
      <c r="C4" s="52" t="s">
        <v>2</v>
      </c>
      <c r="D4" s="52"/>
      <c r="E4" s="52"/>
      <c r="F4" s="52"/>
      <c r="G4" s="52"/>
      <c r="H4" s="52"/>
    </row>
    <row r="5" spans="1:8" ht="31.5" customHeight="1" thickBot="1" x14ac:dyDescent="0.3">
      <c r="A5" s="50"/>
      <c r="B5" s="62"/>
      <c r="C5" s="45" t="s">
        <v>100</v>
      </c>
      <c r="D5" s="33" t="s">
        <v>3</v>
      </c>
      <c r="E5" s="33" t="s">
        <v>4</v>
      </c>
      <c r="F5" s="34" t="s">
        <v>46</v>
      </c>
      <c r="G5" s="34" t="s">
        <v>45</v>
      </c>
      <c r="H5" s="34" t="s">
        <v>47</v>
      </c>
    </row>
    <row r="6" spans="1:8" ht="15.75" thickTop="1" x14ac:dyDescent="0.25"/>
    <row r="7" spans="1:8" x14ac:dyDescent="0.25">
      <c r="A7" s="35" t="s">
        <v>5</v>
      </c>
    </row>
    <row r="9" spans="1:8" x14ac:dyDescent="0.25">
      <c r="A9" s="15" t="s">
        <v>6</v>
      </c>
    </row>
    <row r="10" spans="1:8" x14ac:dyDescent="0.25">
      <c r="A10" s="36" t="s">
        <v>88</v>
      </c>
      <c r="B10" s="15">
        <f>SUM(C10:H10)</f>
        <v>98714.638888888891</v>
      </c>
      <c r="C10" s="37">
        <f>AVERAGE(+'I Trimestre'!C10:C10,+'II Trimestre'!C10:C10,+'III Trimestre'!C10:C10,+'IV Trimestre'!C10:C10)</f>
        <v>77568.583333333343</v>
      </c>
      <c r="D10" s="37">
        <f>AVERAGE(+'I Trimestre'!D10,+'II Trimestre'!D10,+'III Trimestre'!D10,+'IV Trimestre'!D10)</f>
        <v>5079.833333333333</v>
      </c>
      <c r="E10" s="37">
        <f>+'I Trimestre'!E10+'II Trimestre'!E10+'III Trimestre'!E10+'IV Trimestre'!E10</f>
        <v>7497.333333333333</v>
      </c>
      <c r="F10" s="37">
        <f>+'I Trimestre'!F10+'II Trimestre'!F10+'III Trimestre'!F10+'IV Trimestre'!F10</f>
        <v>6065.1111111111113</v>
      </c>
      <c r="G10" s="37">
        <f>+'I Trimestre'!G10+'II Trimestre'!G10+'III Trimestre'!G10+'IV Trimestre'!G10</f>
        <v>2503.7777777777774</v>
      </c>
      <c r="H10" s="37">
        <f>'I Trimestre'!H10+'II Trimestre'!H10+'III Trimestre'!H10+'IV Trimestre'!H10</f>
        <v>0</v>
      </c>
    </row>
    <row r="11" spans="1:8" x14ac:dyDescent="0.25">
      <c r="A11" s="36" t="s">
        <v>89</v>
      </c>
      <c r="B11" s="15">
        <f>SUM(C11:H11)</f>
        <v>87342.25</v>
      </c>
      <c r="C11" s="37">
        <f>AVERAGE(+'I Trimestre'!C11:C11,+'II Trimestre'!C11:C11,+'III Trimestre'!C11:C11,+'IV Trimestre'!C11:C11)</f>
        <v>77036</v>
      </c>
      <c r="D11" s="37">
        <f>AVERAGE(+'I Trimestre'!D11,+'II Trimestre'!D11,+'III Trimestre'!D11,+'IV Trimestre'!D11)</f>
        <v>5000</v>
      </c>
      <c r="E11" s="37">
        <f>AVERAGE(+'I Trimestre'!E11,'II Trimestre'!E11,'III Trimestre'!E11,'IV Trimestre'!E11)</f>
        <v>2300</v>
      </c>
      <c r="F11" s="37">
        <f>AVERAGE(+'I Trimestre'!F11,+'II Trimestre'!F11,+'III Trimestre'!F11,+'IV Trimestre'!F11)</f>
        <v>2100</v>
      </c>
      <c r="G11" s="37">
        <f>AVERAGE(+'I Trimestre'!G11,+'II Trimestre'!G11,+'III Trimestre'!G11,+'IV Trimestre'!G11)</f>
        <v>700</v>
      </c>
      <c r="H11" s="37">
        <f>AVERAGE('I Trimestre'!H11,+'II Trimestre'!H11,+'III Trimestre'!H11,+'IV Trimestre'!H11)</f>
        <v>206.25</v>
      </c>
    </row>
    <row r="12" spans="1:8" x14ac:dyDescent="0.25">
      <c r="A12" s="36" t="s">
        <v>90</v>
      </c>
      <c r="B12" s="15">
        <f>SUM(C12:H12)</f>
        <v>96280.916666666657</v>
      </c>
      <c r="C12" s="37">
        <f>AVERAGE(+'I Trimestre'!C12:C12,+'II Trimestre'!C12:C12,+'III Trimestre'!C12:C12,+'IV Trimestre'!C12:C12)</f>
        <v>84468.583333333328</v>
      </c>
      <c r="D12" s="37">
        <f>AVERAGE(+'I Trimestre'!D12:D12,+'II Trimestre'!D12:D12,+'III Trimestre'!D12:D12,+'IV Trimestre'!D12:D12)</f>
        <v>7635.75</v>
      </c>
      <c r="E12" s="37">
        <f>AVERAGE(+'I Trimestre'!E12:E12,+'II Trimestre'!E12:E12,+'III Trimestre'!E12:E12,+'IV Trimestre'!E12:E12)</f>
        <v>2081.083333333333</v>
      </c>
      <c r="F12" s="37">
        <f>AVERAGE(+'I Trimestre'!F12:F12,+'II Trimestre'!F12:F12,+'III Trimestre'!F12:F12,+'IV Trimestre'!F12:F12)</f>
        <v>1404.75</v>
      </c>
      <c r="G12" s="37">
        <f>AVERAGE(+'I Trimestre'!G12:G12,+'II Trimestre'!G12:G12,+'III Trimestre'!G12:G12,+'IV Trimestre'!G12:G12)</f>
        <v>690.75</v>
      </c>
      <c r="H12" s="37">
        <f>AVERAGE(+'I Trimestre'!H12:H12,+'II Trimestre'!H12:H12,+'III Trimestre'!H12:H12,+'IV Trimestre'!H12:H12)</f>
        <v>0</v>
      </c>
    </row>
    <row r="13" spans="1:8" x14ac:dyDescent="0.25">
      <c r="A13" s="36" t="s">
        <v>10</v>
      </c>
      <c r="B13" s="15">
        <f>SUM(C13:H13)</f>
        <v>87535.916666666672</v>
      </c>
      <c r="C13" s="37">
        <f>1827+75209</f>
        <v>77036</v>
      </c>
      <c r="D13" s="37">
        <f>59999/12</f>
        <v>4999.916666666667</v>
      </c>
      <c r="E13" s="37">
        <f>27600/12</f>
        <v>2300</v>
      </c>
      <c r="F13" s="37">
        <f>25200/12</f>
        <v>2100</v>
      </c>
      <c r="G13" s="37">
        <f>8400/12</f>
        <v>700</v>
      </c>
      <c r="H13" s="37">
        <v>400</v>
      </c>
    </row>
    <row r="15" spans="1:8" x14ac:dyDescent="0.25">
      <c r="A15" s="38" t="s">
        <v>11</v>
      </c>
    </row>
    <row r="16" spans="1:8" x14ac:dyDescent="0.25">
      <c r="A16" s="36" t="s">
        <v>88</v>
      </c>
      <c r="B16" s="15">
        <f>SUM(C16:H16)</f>
        <v>19904953195.5</v>
      </c>
      <c r="C16" s="37">
        <f>+'I Trimestre'!C16:C16+'II Trimestre'!C16:C16+'III Trimestre'!C16:C16+'IV Trimestre'!C16:C16</f>
        <v>14938099000</v>
      </c>
      <c r="D16" s="15">
        <f>+'I Trimestre'!D16+'II Trimestre'!D16+'III Trimestre'!D16+'IV Trimestre'!D16</f>
        <v>1468902000</v>
      </c>
      <c r="E16" s="15">
        <f>+'I Trimestre'!E16+'II Trimestre'!E16+'III Trimestre'!E16+'IV Trimestre'!E16</f>
        <v>1348320000</v>
      </c>
      <c r="F16" s="15">
        <f>+'I Trimestre'!F16+'II Trimestre'!F16+'III Trimestre'!F16+'IV Trimestre'!F16</f>
        <v>1510272195.5</v>
      </c>
      <c r="G16" s="15">
        <f>+'I Trimestre'!G16+'II Trimestre'!G16+'III Trimestre'!G16+'IV Trimestre'!G16</f>
        <v>639360000</v>
      </c>
      <c r="H16" s="15">
        <f>+'I Trimestre'!H16+'II Trimestre'!H16+'III Trimestre'!H16+'IV Trimestre'!H16</f>
        <v>0</v>
      </c>
    </row>
    <row r="17" spans="1:8" x14ac:dyDescent="0.25">
      <c r="A17" s="36" t="s">
        <v>89</v>
      </c>
      <c r="B17" s="15">
        <f>SUM(C17:H17)</f>
        <v>14913727000</v>
      </c>
      <c r="C17" s="37">
        <f>+'I Trimestre'!C17:C17+'II Trimestre'!C17:C17+'III Trimestre'!C17:C17+'IV Trimestre'!C17:C17</f>
        <v>10168752000</v>
      </c>
      <c r="D17" s="15">
        <f>+'I Trimestre'!D17+'II Trimestre'!D17+'III Trimestre'!D17+'IV Trimestre'!D17</f>
        <v>1020000000</v>
      </c>
      <c r="E17" s="15">
        <f>+'I Trimestre'!E17+'II Trimestre'!E17+'III Trimestre'!E17+'IV Trimestre'!E17</f>
        <v>1104000000</v>
      </c>
      <c r="F17" s="15">
        <f>+'I Trimestre'!F17+'II Trimestre'!F17+'III Trimestre'!F17+'IV Trimestre'!F17</f>
        <v>1638000000</v>
      </c>
      <c r="G17" s="15">
        <f>+'I Trimestre'!G17+'II Trimestre'!G17+'III Trimestre'!G17+'IV Trimestre'!G17</f>
        <v>504000000</v>
      </c>
      <c r="H17" s="15">
        <f>+'I Trimestre'!H17+'II Trimestre'!H17+'III Trimestre'!H17+'IV Trimestre'!H17</f>
        <v>478975000</v>
      </c>
    </row>
    <row r="18" spans="1:8" x14ac:dyDescent="0.25">
      <c r="A18" s="36" t="s">
        <v>90</v>
      </c>
      <c r="B18" s="15">
        <f>SUM(C18:H18)</f>
        <v>15379240940.560001</v>
      </c>
      <c r="C18" s="37">
        <f>+'I Trimestre'!C18:C18+'II Trimestre'!C18:C18+'III Trimestre'!C18:C18+'IV Trimestre'!C18:C18</f>
        <v>11149853000</v>
      </c>
      <c r="D18" s="15">
        <f>+'I Trimestre'!D18+'II Trimestre'!D18+'III Trimestre'!D18+'IV Trimestre'!D18</f>
        <v>1557693000</v>
      </c>
      <c r="E18" s="15">
        <f>+'I Trimestre'!E18+'II Trimestre'!E18+'III Trimestre'!E18+'IV Trimestre'!E18</f>
        <v>998920000</v>
      </c>
      <c r="F18" s="15">
        <f>+'I Trimestre'!F18+'II Trimestre'!F18+'III Trimestre'!F18+'IV Trimestre'!F18</f>
        <v>1175434940.5600011</v>
      </c>
      <c r="G18" s="15">
        <f>+'I Trimestre'!G18+'II Trimestre'!G18+'III Trimestre'!G18+'IV Trimestre'!G18</f>
        <v>497340000</v>
      </c>
      <c r="H18" s="15">
        <f>+'I Trimestre'!H18+'II Trimestre'!H18+'III Trimestre'!H18+'IV Trimestre'!H18</f>
        <v>0</v>
      </c>
    </row>
    <row r="19" spans="1:8" x14ac:dyDescent="0.25">
      <c r="A19" s="36" t="s">
        <v>10</v>
      </c>
      <c r="B19" s="15">
        <f>SUM(C19:H19)</f>
        <v>14913727000</v>
      </c>
      <c r="C19" s="37">
        <f>241164000+9927588000</f>
        <v>10168752000</v>
      </c>
      <c r="D19" s="15">
        <v>1020000000</v>
      </c>
      <c r="E19" s="15">
        <v>1104000000</v>
      </c>
      <c r="F19" s="15">
        <v>1638000000</v>
      </c>
      <c r="G19" s="15">
        <v>504000000</v>
      </c>
      <c r="H19" s="15">
        <v>478975000</v>
      </c>
    </row>
    <row r="20" spans="1:8" x14ac:dyDescent="0.25">
      <c r="A20" s="36" t="s">
        <v>91</v>
      </c>
      <c r="B20" s="15">
        <f>SUM(C20:H20)</f>
        <v>15379240940.560001</v>
      </c>
      <c r="C20" s="37">
        <f>C18</f>
        <v>11149853000</v>
      </c>
      <c r="D20" s="15">
        <f>D18</f>
        <v>1557693000</v>
      </c>
      <c r="E20" s="15">
        <f t="shared" ref="E20:H20" si="0">E18</f>
        <v>998920000</v>
      </c>
      <c r="F20" s="15">
        <f t="shared" si="0"/>
        <v>1175434940.5600011</v>
      </c>
      <c r="G20" s="15">
        <f t="shared" si="0"/>
        <v>497340000</v>
      </c>
      <c r="H20" s="15">
        <f t="shared" si="0"/>
        <v>0</v>
      </c>
    </row>
    <row r="22" spans="1:8" x14ac:dyDescent="0.25">
      <c r="A22" s="38" t="s">
        <v>13</v>
      </c>
    </row>
    <row r="23" spans="1:8" x14ac:dyDescent="0.25">
      <c r="A23" s="36" t="s">
        <v>89</v>
      </c>
      <c r="B23" s="15">
        <f>B17</f>
        <v>14913727000</v>
      </c>
    </row>
    <row r="24" spans="1:8" x14ac:dyDescent="0.25">
      <c r="A24" s="36" t="s">
        <v>90</v>
      </c>
      <c r="B24" s="15">
        <f>+'I Trimestre'!B24+'II Trimestre'!B24+'III Trimestre'!B24+'IV Trimestre'!B24</f>
        <v>15454126820.92</v>
      </c>
    </row>
    <row r="26" spans="1:8" x14ac:dyDescent="0.25">
      <c r="A26" s="15" t="s">
        <v>14</v>
      </c>
    </row>
    <row r="27" spans="1:8" x14ac:dyDescent="0.25">
      <c r="A27" s="15" t="s">
        <v>92</v>
      </c>
      <c r="B27" s="15">
        <v>1.4</v>
      </c>
      <c r="C27" s="37">
        <v>1.4</v>
      </c>
      <c r="D27" s="15">
        <v>1.4</v>
      </c>
      <c r="E27" s="15">
        <v>1.4</v>
      </c>
      <c r="F27" s="15">
        <v>1.4</v>
      </c>
      <c r="G27" s="15">
        <v>1.4</v>
      </c>
      <c r="H27" s="15">
        <v>1.4</v>
      </c>
    </row>
    <row r="28" spans="1:8" x14ac:dyDescent="0.25">
      <c r="A28" s="15" t="s">
        <v>93</v>
      </c>
      <c r="B28" s="15">
        <v>1.47</v>
      </c>
      <c r="C28" s="37">
        <v>1.47</v>
      </c>
      <c r="D28" s="15">
        <v>1.47</v>
      </c>
      <c r="E28" s="15">
        <v>1.47</v>
      </c>
      <c r="F28" s="15">
        <v>1.47</v>
      </c>
      <c r="G28" s="15">
        <v>1.47</v>
      </c>
      <c r="H28" s="15">
        <v>1.47</v>
      </c>
    </row>
    <row r="29" spans="1:8" x14ac:dyDescent="0.25">
      <c r="A29" s="36" t="s">
        <v>17</v>
      </c>
      <c r="B29" s="40">
        <f>SUM(C29:F29)</f>
        <v>259781</v>
      </c>
      <c r="C29" s="39">
        <v>223258</v>
      </c>
      <c r="D29" s="37">
        <v>8954</v>
      </c>
      <c r="E29" s="15">
        <v>8954</v>
      </c>
      <c r="F29" s="37">
        <v>18615</v>
      </c>
      <c r="G29" s="37" t="s">
        <v>115</v>
      </c>
      <c r="H29" s="15" t="s">
        <v>115</v>
      </c>
    </row>
    <row r="31" spans="1:8" x14ac:dyDescent="0.25">
      <c r="A31" s="15" t="s">
        <v>18</v>
      </c>
    </row>
    <row r="32" spans="1:8" x14ac:dyDescent="0.25">
      <c r="A32" s="15" t="s">
        <v>94</v>
      </c>
      <c r="B32" s="15">
        <f t="shared" ref="B32:F32" si="1">B16/B27</f>
        <v>14217823711.07143</v>
      </c>
      <c r="C32" s="37">
        <f t="shared" si="1"/>
        <v>10670070714.285715</v>
      </c>
      <c r="D32" s="15">
        <f t="shared" si="1"/>
        <v>1049215714.2857144</v>
      </c>
      <c r="E32" s="15">
        <f t="shared" si="1"/>
        <v>963085714.28571439</v>
      </c>
      <c r="F32" s="15">
        <f t="shared" si="1"/>
        <v>1078765853.9285715</v>
      </c>
      <c r="G32" s="15">
        <f>G16/G27</f>
        <v>456685714.28571433</v>
      </c>
      <c r="H32" s="15">
        <f>H16/H27</f>
        <v>0</v>
      </c>
    </row>
    <row r="33" spans="1:8" x14ac:dyDescent="0.25">
      <c r="A33" s="15" t="s">
        <v>95</v>
      </c>
      <c r="B33" s="15">
        <f t="shared" ref="B33:F33" si="2">B18/B28</f>
        <v>10462068667.047621</v>
      </c>
      <c r="C33" s="37">
        <f t="shared" si="2"/>
        <v>7584934013.605442</v>
      </c>
      <c r="D33" s="15">
        <f t="shared" si="2"/>
        <v>1059655102.0408163</v>
      </c>
      <c r="E33" s="15">
        <f t="shared" si="2"/>
        <v>679537414.96598637</v>
      </c>
      <c r="F33" s="15">
        <f t="shared" si="2"/>
        <v>799615605.82313001</v>
      </c>
      <c r="G33" s="15">
        <f>G18/G28</f>
        <v>338326530.6122449</v>
      </c>
      <c r="H33" s="15">
        <f>H18/H28</f>
        <v>0</v>
      </c>
    </row>
    <row r="34" spans="1:8" x14ac:dyDescent="0.25">
      <c r="A34" s="15" t="s">
        <v>96</v>
      </c>
      <c r="B34" s="15">
        <f t="shared" ref="B34:F34" si="3">B32/B10</f>
        <v>144029.53676480256</v>
      </c>
      <c r="C34" s="37">
        <f t="shared" si="3"/>
        <v>137556.60160033492</v>
      </c>
      <c r="D34" s="15">
        <f t="shared" si="3"/>
        <v>206545.30285489309</v>
      </c>
      <c r="E34" s="15">
        <f t="shared" si="3"/>
        <v>128457.10220776913</v>
      </c>
      <c r="F34" s="15">
        <f t="shared" si="3"/>
        <v>177864.15354407986</v>
      </c>
      <c r="G34" s="15">
        <f>G32/G10</f>
        <v>182398.66107088974</v>
      </c>
      <c r="H34" s="15" t="e">
        <f>H32/H10</f>
        <v>#DIV/0!</v>
      </c>
    </row>
    <row r="35" spans="1:8" x14ac:dyDescent="0.25">
      <c r="A35" s="15" t="s">
        <v>97</v>
      </c>
      <c r="B35" s="15">
        <f>B33/B12</f>
        <v>108661.91379614986</v>
      </c>
      <c r="C35" s="37">
        <f>C33/C12</f>
        <v>89795.918367346938</v>
      </c>
      <c r="D35" s="15">
        <f>D33/D12</f>
        <v>138775.51020408163</v>
      </c>
      <c r="E35" s="15">
        <f>E33/E12</f>
        <v>326530.61224489799</v>
      </c>
      <c r="F35" s="15">
        <f t="shared" ref="F35:H35" si="4">F33/F12</f>
        <v>569222.71281233674</v>
      </c>
      <c r="G35" s="15">
        <f t="shared" si="4"/>
        <v>489795.91836734692</v>
      </c>
      <c r="H35" s="15" t="e">
        <f t="shared" si="4"/>
        <v>#DIV/0!</v>
      </c>
    </row>
    <row r="37" spans="1:8" x14ac:dyDescent="0.25">
      <c r="A37" s="35" t="s">
        <v>23</v>
      </c>
    </row>
    <row r="39" spans="1:8" x14ac:dyDescent="0.25">
      <c r="A39" s="15" t="s">
        <v>24</v>
      </c>
    </row>
    <row r="40" spans="1:8" x14ac:dyDescent="0.25">
      <c r="A40" s="15" t="s">
        <v>25</v>
      </c>
      <c r="B40" s="37">
        <f>(B11/B29)*100</f>
        <v>33.621492718867046</v>
      </c>
      <c r="C40" s="37">
        <f>(C11/C29)*100</f>
        <v>34.505370468247499</v>
      </c>
      <c r="D40" s="37">
        <f t="shared" ref="D40:H40" si="5">(D11/D29)*100</f>
        <v>55.840964931874026</v>
      </c>
      <c r="E40" s="37">
        <f t="shared" si="5"/>
        <v>25.686843868662052</v>
      </c>
      <c r="F40" s="37">
        <f t="shared" si="5"/>
        <v>11.281224818694602</v>
      </c>
      <c r="G40" s="37" t="e">
        <f t="shared" si="5"/>
        <v>#VALUE!</v>
      </c>
      <c r="H40" s="37" t="e">
        <f t="shared" si="5"/>
        <v>#VALUE!</v>
      </c>
    </row>
    <row r="41" spans="1:8" x14ac:dyDescent="0.25">
      <c r="A41" s="15" t="s">
        <v>26</v>
      </c>
      <c r="B41" s="37">
        <f>(B12/B29)*100</f>
        <v>37.062339688686492</v>
      </c>
      <c r="C41" s="37">
        <f>(C12/C29)*100</f>
        <v>37.834515821754799</v>
      </c>
      <c r="D41" s="37">
        <f t="shared" ref="D41:H41" si="6">(D12/D29)*100</f>
        <v>85.277529595711414</v>
      </c>
      <c r="E41" s="37">
        <f t="shared" si="6"/>
        <v>23.241940287394829</v>
      </c>
      <c r="F41" s="37">
        <f t="shared" si="6"/>
        <v>7.5463336019339247</v>
      </c>
      <c r="G41" s="37" t="e">
        <f t="shared" si="6"/>
        <v>#VALUE!</v>
      </c>
      <c r="H41" s="37" t="e">
        <f t="shared" si="6"/>
        <v>#VALUE!</v>
      </c>
    </row>
    <row r="43" spans="1:8" x14ac:dyDescent="0.25">
      <c r="A43" s="15" t="s">
        <v>27</v>
      </c>
    </row>
    <row r="44" spans="1:8" x14ac:dyDescent="0.25">
      <c r="A44" s="15" t="s">
        <v>28</v>
      </c>
      <c r="B44" s="15">
        <f t="shared" ref="B44:F44" si="7">B12/B11*100</f>
        <v>110.23406961312155</v>
      </c>
      <c r="C44" s="37">
        <f t="shared" si="7"/>
        <v>109.64819478339132</v>
      </c>
      <c r="D44" s="15">
        <f t="shared" si="7"/>
        <v>152.715</v>
      </c>
      <c r="E44" s="15">
        <f t="shared" si="7"/>
        <v>90.481884057971001</v>
      </c>
      <c r="F44" s="15">
        <f t="shared" si="7"/>
        <v>66.892857142857139</v>
      </c>
      <c r="G44" s="15">
        <f>G12/G11*100</f>
        <v>98.678571428571431</v>
      </c>
      <c r="H44" s="15">
        <f>H12/H11*100</f>
        <v>0</v>
      </c>
    </row>
    <row r="45" spans="1:8" x14ac:dyDescent="0.25">
      <c r="A45" s="15" t="s">
        <v>29</v>
      </c>
      <c r="B45" s="15">
        <f t="shared" ref="B45:F45" si="8">B18/B17*100</f>
        <v>103.12137898568213</v>
      </c>
      <c r="C45" s="37">
        <f t="shared" si="8"/>
        <v>109.64819478339132</v>
      </c>
      <c r="D45" s="15">
        <f t="shared" si="8"/>
        <v>152.715</v>
      </c>
      <c r="E45" s="15">
        <f t="shared" si="8"/>
        <v>90.481884057971016</v>
      </c>
      <c r="F45" s="15">
        <f t="shared" si="8"/>
        <v>71.760374881562953</v>
      </c>
      <c r="G45" s="15">
        <f>G18/G17*100</f>
        <v>98.678571428571431</v>
      </c>
      <c r="H45" s="15">
        <f>H18/H17*100</f>
        <v>0</v>
      </c>
    </row>
    <row r="46" spans="1:8" x14ac:dyDescent="0.25">
      <c r="A46" s="15" t="s">
        <v>30</v>
      </c>
      <c r="B46" s="15">
        <f t="shared" ref="B46:F46" si="9">AVERAGE(B44:B45)</f>
        <v>106.67772429940183</v>
      </c>
      <c r="C46" s="37">
        <f t="shared" si="9"/>
        <v>109.64819478339132</v>
      </c>
      <c r="D46" s="15">
        <f t="shared" si="9"/>
        <v>152.715</v>
      </c>
      <c r="E46" s="15">
        <f t="shared" si="9"/>
        <v>90.481884057971001</v>
      </c>
      <c r="F46" s="15">
        <f t="shared" si="9"/>
        <v>69.326616012210053</v>
      </c>
      <c r="G46" s="15">
        <f>AVERAGE(G44:G45)</f>
        <v>98.678571428571431</v>
      </c>
      <c r="H46" s="15">
        <f>AVERAGE(H44:H45)</f>
        <v>0</v>
      </c>
    </row>
    <row r="48" spans="1:8" x14ac:dyDescent="0.25">
      <c r="A48" s="15" t="s">
        <v>31</v>
      </c>
    </row>
    <row r="49" spans="1:8" x14ac:dyDescent="0.25">
      <c r="A49" s="15" t="s">
        <v>32</v>
      </c>
      <c r="B49" s="15">
        <f t="shared" ref="B49:F49" si="10">B12/B13*100</f>
        <v>109.99018498121245</v>
      </c>
      <c r="C49" s="37">
        <f t="shared" si="10"/>
        <v>109.64819478339132</v>
      </c>
      <c r="D49" s="15">
        <f t="shared" si="10"/>
        <v>152.71754529242153</v>
      </c>
      <c r="E49" s="15">
        <f t="shared" si="10"/>
        <v>90.481884057971001</v>
      </c>
      <c r="F49" s="15">
        <f t="shared" si="10"/>
        <v>66.892857142857139</v>
      </c>
      <c r="G49" s="15">
        <f>G12/G13*100</f>
        <v>98.678571428571431</v>
      </c>
      <c r="H49" s="15">
        <f>H12/H13*100</f>
        <v>0</v>
      </c>
    </row>
    <row r="50" spans="1:8" x14ac:dyDescent="0.25">
      <c r="A50" s="15" t="s">
        <v>33</v>
      </c>
      <c r="B50" s="15">
        <f t="shared" ref="B50:F50" si="11">B18/B19*100</f>
        <v>103.12137898568213</v>
      </c>
      <c r="C50" s="37">
        <f t="shared" si="11"/>
        <v>109.64819478339132</v>
      </c>
      <c r="D50" s="15">
        <f t="shared" si="11"/>
        <v>152.715</v>
      </c>
      <c r="E50" s="15">
        <f t="shared" si="11"/>
        <v>90.481884057971016</v>
      </c>
      <c r="F50" s="15">
        <f t="shared" si="11"/>
        <v>71.760374881562953</v>
      </c>
      <c r="G50" s="15">
        <f>G18/G19*100</f>
        <v>98.678571428571431</v>
      </c>
      <c r="H50" s="15">
        <f>H18/H19*100</f>
        <v>0</v>
      </c>
    </row>
    <row r="51" spans="1:8" x14ac:dyDescent="0.25">
      <c r="A51" s="15" t="s">
        <v>34</v>
      </c>
      <c r="B51" s="15">
        <f t="shared" ref="B51:F51" si="12">(B49+B50)/2</f>
        <v>106.55578198344729</v>
      </c>
      <c r="C51" s="37">
        <f t="shared" si="12"/>
        <v>109.64819478339132</v>
      </c>
      <c r="D51" s="15">
        <f t="shared" si="12"/>
        <v>152.71627264621077</v>
      </c>
      <c r="E51" s="15">
        <f t="shared" si="12"/>
        <v>90.481884057971001</v>
      </c>
      <c r="F51" s="15">
        <f t="shared" si="12"/>
        <v>69.326616012210053</v>
      </c>
      <c r="G51" s="15">
        <f>(G49+G50)/2</f>
        <v>98.678571428571431</v>
      </c>
      <c r="H51" s="15">
        <f>(H49+H50)/2</f>
        <v>0</v>
      </c>
    </row>
    <row r="53" spans="1:8" x14ac:dyDescent="0.25">
      <c r="A53" s="15" t="s">
        <v>35</v>
      </c>
      <c r="B53" s="15">
        <f>B20/B18*100</f>
        <v>100</v>
      </c>
      <c r="C53" s="37">
        <f>C20/C18*100</f>
        <v>100</v>
      </c>
      <c r="D53" s="15">
        <f>D20/D18*100</f>
        <v>100</v>
      </c>
      <c r="E53" s="15">
        <f>E20/E18*100</f>
        <v>100</v>
      </c>
      <c r="F53" s="37" t="s">
        <v>98</v>
      </c>
    </row>
    <row r="55" spans="1:8" x14ac:dyDescent="0.25">
      <c r="A55" s="15" t="s">
        <v>36</v>
      </c>
    </row>
    <row r="56" spans="1:8" x14ac:dyDescent="0.25">
      <c r="A56" s="15" t="s">
        <v>37</v>
      </c>
      <c r="B56" s="15">
        <f t="shared" ref="B56:F56" si="13">((B12/B10)-1)*100</f>
        <v>-2.4654116649928448</v>
      </c>
      <c r="C56" s="37">
        <f t="shared" si="13"/>
        <v>8.8953538964980261</v>
      </c>
      <c r="D56" s="15">
        <f t="shared" si="13"/>
        <v>50.3149709636143</v>
      </c>
      <c r="E56" s="15">
        <f t="shared" si="13"/>
        <v>-72.242352836564123</v>
      </c>
      <c r="F56" s="15">
        <f t="shared" si="13"/>
        <v>-76.838841461180522</v>
      </c>
      <c r="G56" s="15">
        <f>((G12/G10)-1)*100</f>
        <v>-72.411689003283925</v>
      </c>
      <c r="H56" s="15" t="e">
        <f>((H12/H10)-1)*100</f>
        <v>#DIV/0!</v>
      </c>
    </row>
    <row r="57" spans="1:8" x14ac:dyDescent="0.25">
      <c r="A57" s="15" t="s">
        <v>38</v>
      </c>
      <c r="B57" s="15">
        <f t="shared" ref="B57:H57" si="14">((B33/B32)-1)*100</f>
        <v>-26.415822282978517</v>
      </c>
      <c r="C57" s="37">
        <f t="shared" si="14"/>
        <v>-28.913929282115358</v>
      </c>
      <c r="D57" s="15">
        <f t="shared" si="14"/>
        <v>0.9949705873600001</v>
      </c>
      <c r="E57" s="15">
        <f t="shared" si="14"/>
        <v>-29.441647312775842</v>
      </c>
      <c r="F57" s="15">
        <f t="shared" si="14"/>
        <v>-25.87681535236328</v>
      </c>
      <c r="G57" s="15">
        <f t="shared" si="14"/>
        <v>-25.916988416988417</v>
      </c>
      <c r="H57" s="15" t="e">
        <f t="shared" si="14"/>
        <v>#DIV/0!</v>
      </c>
    </row>
    <row r="58" spans="1:8" x14ac:dyDescent="0.25">
      <c r="A58" s="15" t="s">
        <v>39</v>
      </c>
      <c r="B58" s="15">
        <f t="shared" ref="B58:F58" si="15">((B35/B34)-1)*100</f>
        <v>-24.555812483384809</v>
      </c>
      <c r="C58" s="37">
        <f t="shared" si="15"/>
        <v>-34.720749624038184</v>
      </c>
      <c r="D58" s="15">
        <f t="shared" si="15"/>
        <v>-32.811103285375921</v>
      </c>
      <c r="E58" s="15">
        <f t="shared" si="15"/>
        <v>154.19428481016234</v>
      </c>
      <c r="F58" s="15">
        <f t="shared" si="15"/>
        <v>220.03228389202491</v>
      </c>
      <c r="G58" s="15">
        <f>((G35/G34)-1)*100</f>
        <v>168.53043519710181</v>
      </c>
      <c r="H58" s="15" t="e">
        <f>((H35/H34)-1)*100</f>
        <v>#DIV/0!</v>
      </c>
    </row>
    <row r="60" spans="1:8" x14ac:dyDescent="0.25">
      <c r="A60" s="15" t="s">
        <v>40</v>
      </c>
    </row>
    <row r="61" spans="1:8" x14ac:dyDescent="0.25">
      <c r="A61" s="15" t="s">
        <v>106</v>
      </c>
      <c r="B61" s="15">
        <f>B17/(B11*12)</f>
        <v>14229.202743613008</v>
      </c>
      <c r="C61" s="37">
        <f t="shared" ref="C61:H61" si="16">C17/(C11*12)</f>
        <v>11000</v>
      </c>
      <c r="D61" s="15">
        <f t="shared" si="16"/>
        <v>17000</v>
      </c>
      <c r="E61" s="15">
        <f t="shared" si="16"/>
        <v>40000</v>
      </c>
      <c r="F61" s="15">
        <f t="shared" si="16"/>
        <v>65000</v>
      </c>
      <c r="G61" s="15">
        <f t="shared" si="16"/>
        <v>60000</v>
      </c>
      <c r="H61" s="15">
        <f t="shared" si="16"/>
        <v>193525.25252525252</v>
      </c>
    </row>
    <row r="62" spans="1:8" x14ac:dyDescent="0.25">
      <c r="A62" s="15" t="s">
        <v>107</v>
      </c>
      <c r="B62" s="15">
        <f>B18/(B12*12)</f>
        <v>13311.084440028355</v>
      </c>
      <c r="C62" s="37">
        <f t="shared" ref="C62:H62" si="17">C18/(C12*12)</f>
        <v>11000</v>
      </c>
      <c r="D62" s="15">
        <f t="shared" si="17"/>
        <v>17000</v>
      </c>
      <c r="E62" s="15">
        <f t="shared" si="17"/>
        <v>40000.000000000007</v>
      </c>
      <c r="F62" s="15">
        <f t="shared" si="17"/>
        <v>69729.782319511243</v>
      </c>
      <c r="G62" s="15">
        <f t="shared" si="17"/>
        <v>60000</v>
      </c>
      <c r="H62" s="15" t="e">
        <f t="shared" si="17"/>
        <v>#DIV/0!</v>
      </c>
    </row>
    <row r="63" spans="1:8" x14ac:dyDescent="0.25">
      <c r="A63" s="15" t="s">
        <v>41</v>
      </c>
      <c r="B63" s="15">
        <f t="shared" ref="B63:H63" si="18">(B61/B62)*B46</f>
        <v>114.03571017240178</v>
      </c>
      <c r="C63" s="37">
        <f t="shared" si="18"/>
        <v>109.64819478339132</v>
      </c>
      <c r="D63" s="15">
        <f t="shared" si="18"/>
        <v>152.715</v>
      </c>
      <c r="E63" s="15">
        <f t="shared" si="18"/>
        <v>90.481884057970987</v>
      </c>
      <c r="F63" s="15">
        <f t="shared" si="18"/>
        <v>64.624180527991626</v>
      </c>
      <c r="G63" s="15">
        <f t="shared" si="18"/>
        <v>98.678571428571431</v>
      </c>
      <c r="H63" s="15" t="e">
        <f t="shared" si="18"/>
        <v>#DIV/0!</v>
      </c>
    </row>
    <row r="64" spans="1:8" x14ac:dyDescent="0.25">
      <c r="A64" s="15" t="s">
        <v>129</v>
      </c>
      <c r="B64" s="15">
        <f>B17/B11</f>
        <v>170750.4329233561</v>
      </c>
      <c r="C64" s="15">
        <f t="shared" ref="C64:H64" si="19">C17/C11</f>
        <v>132000</v>
      </c>
      <c r="D64" s="15">
        <f t="shared" si="19"/>
        <v>204000</v>
      </c>
      <c r="E64" s="15">
        <f t="shared" si="19"/>
        <v>480000</v>
      </c>
      <c r="F64" s="15">
        <f t="shared" si="19"/>
        <v>780000</v>
      </c>
      <c r="G64" s="15">
        <f t="shared" si="19"/>
        <v>720000</v>
      </c>
      <c r="H64" s="15">
        <f t="shared" si="19"/>
        <v>2322303.0303030303</v>
      </c>
    </row>
    <row r="65" spans="1:8" x14ac:dyDescent="0.25">
      <c r="A65" s="15" t="s">
        <v>130</v>
      </c>
      <c r="B65" s="15">
        <f>B18/B12</f>
        <v>159733.0132803403</v>
      </c>
      <c r="C65" s="15">
        <f t="shared" ref="C65:H65" si="20">C18/C12</f>
        <v>132000</v>
      </c>
      <c r="D65" s="15">
        <f t="shared" si="20"/>
        <v>204000</v>
      </c>
      <c r="E65" s="15">
        <f t="shared" si="20"/>
        <v>480000.00000000006</v>
      </c>
      <c r="F65" s="15">
        <f t="shared" si="20"/>
        <v>836757.38783413498</v>
      </c>
      <c r="G65" s="15">
        <f t="shared" si="20"/>
        <v>720000</v>
      </c>
      <c r="H65" s="15" t="e">
        <f t="shared" si="20"/>
        <v>#DIV/0!</v>
      </c>
    </row>
    <row r="67" spans="1:8" x14ac:dyDescent="0.25">
      <c r="A67" s="15" t="s">
        <v>42</v>
      </c>
    </row>
    <row r="68" spans="1:8" x14ac:dyDescent="0.25">
      <c r="A68" s="15" t="s">
        <v>43</v>
      </c>
      <c r="B68" s="15">
        <f>(B24/B23)*100</f>
        <v>103.62350618943206</v>
      </c>
    </row>
    <row r="69" spans="1:8" x14ac:dyDescent="0.25">
      <c r="A69" s="15" t="s">
        <v>44</v>
      </c>
      <c r="B69" s="15">
        <f>(B18/B24)*100</f>
        <v>99.515431177524533</v>
      </c>
    </row>
    <row r="70" spans="1:8" ht="15.75" thickBot="1" x14ac:dyDescent="0.3">
      <c r="A70" s="41"/>
      <c r="B70" s="41"/>
      <c r="C70" s="41"/>
      <c r="D70" s="41"/>
      <c r="E70" s="41"/>
      <c r="F70" s="41"/>
      <c r="G70" s="41"/>
      <c r="H70" s="41"/>
    </row>
    <row r="71" spans="1:8" ht="15.75" thickTop="1" x14ac:dyDescent="0.25"/>
    <row r="72" spans="1:8" x14ac:dyDescent="0.25">
      <c r="A72" s="42" t="s">
        <v>101</v>
      </c>
    </row>
    <row r="73" spans="1:8" x14ac:dyDescent="0.25">
      <c r="A73" s="43" t="s">
        <v>105</v>
      </c>
    </row>
    <row r="74" spans="1:8" x14ac:dyDescent="0.25">
      <c r="A74" s="15" t="s">
        <v>102</v>
      </c>
    </row>
    <row r="75" spans="1:8" x14ac:dyDescent="0.25">
      <c r="A75" s="15" t="s">
        <v>103</v>
      </c>
    </row>
    <row r="76" spans="1:8" x14ac:dyDescent="0.25">
      <c r="A76" s="15" t="s">
        <v>104</v>
      </c>
    </row>
    <row r="78" spans="1:8" x14ac:dyDescent="0.25">
      <c r="A78" s="35" t="s">
        <v>116</v>
      </c>
    </row>
    <row r="79" spans="1:8" x14ac:dyDescent="0.25">
      <c r="A79" s="15" t="s">
        <v>117</v>
      </c>
    </row>
    <row r="80" spans="1:8" x14ac:dyDescent="0.25">
      <c r="A80" s="44" t="s">
        <v>118</v>
      </c>
    </row>
    <row r="81" spans="1:1" x14ac:dyDescent="0.25">
      <c r="A81" s="44" t="s">
        <v>119</v>
      </c>
    </row>
    <row r="82" spans="1:1" x14ac:dyDescent="0.25">
      <c r="A82" s="44" t="s">
        <v>120</v>
      </c>
    </row>
    <row r="83" spans="1:1" x14ac:dyDescent="0.25">
      <c r="A83" s="44" t="s">
        <v>121</v>
      </c>
    </row>
    <row r="84" spans="1:1" x14ac:dyDescent="0.25">
      <c r="A84" s="44" t="s">
        <v>122</v>
      </c>
    </row>
  </sheetData>
  <mergeCells count="4">
    <mergeCell ref="A2:G2"/>
    <mergeCell ref="C4:H4"/>
    <mergeCell ref="A4:A5"/>
    <mergeCell ref="B4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dcterms:created xsi:type="dcterms:W3CDTF">2011-10-21T22:22:06Z</dcterms:created>
  <dcterms:modified xsi:type="dcterms:W3CDTF">2013-10-29T20:24:52Z</dcterms:modified>
</cp:coreProperties>
</file>