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ocuments\Hermes Cliente\files\"/>
    </mc:Choice>
  </mc:AlternateContent>
  <bookViews>
    <workbookView xWindow="360" yWindow="120" windowWidth="16515" windowHeight="9495" tabRatio="721"/>
  </bookViews>
  <sheets>
    <sheet name="I Trimestre" sheetId="8" r:id="rId1"/>
    <sheet name="II Trimestre" sheetId="2" r:id="rId2"/>
    <sheet name="III Trimestre" sheetId="3" r:id="rId3"/>
    <sheet name="IV Trimestre" sheetId="4" r:id="rId4"/>
    <sheet name="I Semestre" sheetId="5" r:id="rId5"/>
    <sheet name="III Trimestre acumulado" sheetId="6" r:id="rId6"/>
    <sheet name="Anual 2011" sheetId="7" r:id="rId7"/>
  </sheets>
  <calcPr calcId="152511"/>
</workbook>
</file>

<file path=xl/calcChain.xml><?xml version="1.0" encoding="utf-8"?>
<calcChain xmlns="http://schemas.openxmlformats.org/spreadsheetml/2006/main">
  <c r="B49" i="4" l="1"/>
  <c r="B49" i="3"/>
  <c r="B49" i="2"/>
  <c r="B49" i="8"/>
  <c r="B11" i="7" l="1"/>
  <c r="B44" i="7" s="1"/>
  <c r="B12" i="7"/>
  <c r="B13" i="7"/>
  <c r="B10" i="7"/>
  <c r="C10" i="7"/>
  <c r="B19" i="6"/>
  <c r="B57" i="6"/>
  <c r="B44" i="6"/>
  <c r="C19" i="6"/>
  <c r="B11" i="6"/>
  <c r="B12" i="6"/>
  <c r="B13" i="6"/>
  <c r="B10" i="6"/>
  <c r="C10" i="6"/>
  <c r="B57" i="5"/>
  <c r="B44" i="5"/>
  <c r="B11" i="5"/>
  <c r="B12" i="5"/>
  <c r="B13" i="5"/>
  <c r="B10" i="5"/>
  <c r="C10" i="5"/>
  <c r="B57" i="4"/>
  <c r="F54" i="4"/>
  <c r="E54" i="4"/>
  <c r="D54" i="4"/>
  <c r="F50" i="4"/>
  <c r="E50" i="4"/>
  <c r="D50" i="4"/>
  <c r="F45" i="4"/>
  <c r="E45" i="4"/>
  <c r="B44" i="4"/>
  <c r="B44" i="3"/>
  <c r="B57" i="3"/>
  <c r="F54" i="3"/>
  <c r="E54" i="3"/>
  <c r="D54" i="3"/>
  <c r="F50" i="3"/>
  <c r="E50" i="3"/>
  <c r="D50" i="3"/>
  <c r="F45" i="3"/>
  <c r="E45" i="3"/>
  <c r="B44" i="2"/>
  <c r="B57" i="2"/>
  <c r="F54" i="2"/>
  <c r="E54" i="2"/>
  <c r="D54" i="2"/>
  <c r="F50" i="2"/>
  <c r="E50" i="2"/>
  <c r="D50" i="2"/>
  <c r="F45" i="2"/>
  <c r="E45" i="2"/>
  <c r="C17" i="8"/>
  <c r="C18" i="8"/>
  <c r="C54" i="8" s="1"/>
  <c r="C19" i="8"/>
  <c r="C50" i="8" s="1"/>
  <c r="C32" i="8"/>
  <c r="C34" i="8"/>
  <c r="C45" i="8" l="1"/>
  <c r="B49" i="5"/>
  <c r="B49" i="6"/>
  <c r="C33" i="8"/>
  <c r="B49" i="7"/>
  <c r="B57" i="7"/>
  <c r="C58" i="8" l="1"/>
  <c r="C13" i="8"/>
  <c r="B44" i="8" l="1"/>
  <c r="C11" i="8" l="1"/>
  <c r="B24" i="7" l="1"/>
  <c r="E18" i="7"/>
  <c r="F18" i="7"/>
  <c r="D18" i="7"/>
  <c r="C32" i="7"/>
  <c r="B19" i="7"/>
  <c r="B24" i="6"/>
  <c r="E18" i="6"/>
  <c r="F18" i="6"/>
  <c r="D18" i="6"/>
  <c r="C32" i="6"/>
  <c r="B24" i="5"/>
  <c r="F18" i="5"/>
  <c r="E18" i="5"/>
  <c r="D18" i="5"/>
  <c r="F50" i="8"/>
  <c r="E50" i="8"/>
  <c r="F33" i="8"/>
  <c r="E33" i="8"/>
  <c r="D33" i="8"/>
  <c r="F54" i="8"/>
  <c r="E54" i="8"/>
  <c r="D54" i="8"/>
  <c r="D50" i="8"/>
  <c r="B19" i="8"/>
  <c r="B18" i="8"/>
  <c r="F45" i="8"/>
  <c r="E45" i="8"/>
  <c r="B17" i="8"/>
  <c r="B32" i="8"/>
  <c r="B34" i="8" s="1"/>
  <c r="C12" i="8"/>
  <c r="D33" i="5"/>
  <c r="C32" i="5"/>
  <c r="B19" i="5"/>
  <c r="C12" i="4"/>
  <c r="F33" i="4"/>
  <c r="E33" i="4"/>
  <c r="D33" i="4"/>
  <c r="C32" i="4"/>
  <c r="C19" i="4"/>
  <c r="C18" i="4"/>
  <c r="B18" i="4"/>
  <c r="D17" i="4"/>
  <c r="D45" i="4" s="1"/>
  <c r="C17" i="4"/>
  <c r="B16" i="4"/>
  <c r="B32" i="4" s="1"/>
  <c r="C13" i="4"/>
  <c r="C11" i="4"/>
  <c r="C12" i="3"/>
  <c r="F33" i="3"/>
  <c r="E33" i="3"/>
  <c r="D33" i="3"/>
  <c r="C32" i="3"/>
  <c r="C19" i="3"/>
  <c r="C50" i="3" s="1"/>
  <c r="B19" i="3"/>
  <c r="C18" i="3"/>
  <c r="C54" i="3" s="1"/>
  <c r="B18" i="3"/>
  <c r="D17" i="3"/>
  <c r="D45" i="3" s="1"/>
  <c r="B16" i="3"/>
  <c r="B32" i="3" s="1"/>
  <c r="C13" i="3"/>
  <c r="C11" i="3"/>
  <c r="C45" i="4" l="1"/>
  <c r="C54" i="4"/>
  <c r="F54" i="6"/>
  <c r="F50" i="6"/>
  <c r="D66" i="3"/>
  <c r="D63" i="3"/>
  <c r="C49" i="3"/>
  <c r="C51" i="3" s="1"/>
  <c r="C57" i="3"/>
  <c r="C44" i="3"/>
  <c r="E50" i="6"/>
  <c r="E54" i="6"/>
  <c r="D63" i="4"/>
  <c r="D66" i="4"/>
  <c r="C49" i="4"/>
  <c r="C44" i="4"/>
  <c r="C46" i="4" s="1"/>
  <c r="C57" i="4"/>
  <c r="D63" i="8"/>
  <c r="D66" i="8"/>
  <c r="C49" i="8"/>
  <c r="C51" i="8" s="1"/>
  <c r="C35" i="8"/>
  <c r="C59" i="8" s="1"/>
  <c r="D50" i="5"/>
  <c r="D54" i="5"/>
  <c r="F50" i="7"/>
  <c r="F54" i="7"/>
  <c r="F54" i="5"/>
  <c r="F50" i="5"/>
  <c r="B70" i="3"/>
  <c r="B54" i="3"/>
  <c r="B66" i="3"/>
  <c r="B63" i="3"/>
  <c r="C50" i="4"/>
  <c r="C51" i="4" s="1"/>
  <c r="D50" i="7"/>
  <c r="D54" i="7"/>
  <c r="C17" i="3"/>
  <c r="C45" i="3" s="1"/>
  <c r="C46" i="3" s="1"/>
  <c r="B50" i="3"/>
  <c r="B51" i="3" s="1"/>
  <c r="B45" i="4"/>
  <c r="B46" i="4" s="1"/>
  <c r="B66" i="4"/>
  <c r="B70" i="4"/>
  <c r="B63" i="4"/>
  <c r="B54" i="4"/>
  <c r="B66" i="8"/>
  <c r="E33" i="5"/>
  <c r="E54" i="5"/>
  <c r="E50" i="5"/>
  <c r="D54" i="6"/>
  <c r="D50" i="6"/>
  <c r="E54" i="7"/>
  <c r="E50" i="7"/>
  <c r="C19" i="7"/>
  <c r="C19" i="5"/>
  <c r="B65" i="8"/>
  <c r="B62" i="8"/>
  <c r="F33" i="5"/>
  <c r="B63" i="8"/>
  <c r="C57" i="8"/>
  <c r="C44" i="8"/>
  <c r="C46" i="8" s="1"/>
  <c r="B70" i="8"/>
  <c r="B45" i="8"/>
  <c r="B46" i="8" s="1"/>
  <c r="B33" i="8"/>
  <c r="B35" i="8" s="1"/>
  <c r="E17" i="5"/>
  <c r="E45" i="5" s="1"/>
  <c r="D45" i="8"/>
  <c r="E17" i="6"/>
  <c r="E45" i="6" s="1"/>
  <c r="E17" i="7"/>
  <c r="E45" i="7" s="1"/>
  <c r="B18" i="7"/>
  <c r="B18" i="5"/>
  <c r="D33" i="7"/>
  <c r="F33" i="7"/>
  <c r="E33" i="7"/>
  <c r="D33" i="6"/>
  <c r="F33" i="6"/>
  <c r="E33" i="6"/>
  <c r="B23" i="8"/>
  <c r="B69" i="8" s="1"/>
  <c r="B57" i="8"/>
  <c r="B54" i="8"/>
  <c r="B50" i="8"/>
  <c r="B51" i="8" s="1"/>
  <c r="B19" i="4"/>
  <c r="B50" i="4" s="1"/>
  <c r="B51" i="4" s="1"/>
  <c r="B34" i="4"/>
  <c r="C34" i="4"/>
  <c r="B17" i="4"/>
  <c r="B33" i="4"/>
  <c r="B58" i="4" s="1"/>
  <c r="C33" i="4"/>
  <c r="C58" i="4" s="1"/>
  <c r="B34" i="3"/>
  <c r="C34" i="3"/>
  <c r="B17" i="3"/>
  <c r="B33" i="3"/>
  <c r="B58" i="3" s="1"/>
  <c r="C33" i="3"/>
  <c r="C58" i="3" s="1"/>
  <c r="C18" i="7" l="1"/>
  <c r="C54" i="7" s="1"/>
  <c r="B70" i="7"/>
  <c r="B54" i="7"/>
  <c r="C50" i="7"/>
  <c r="B62" i="4"/>
  <c r="B64" i="4" s="1"/>
  <c r="B65" i="4"/>
  <c r="B50" i="7"/>
  <c r="B51" i="7" s="1"/>
  <c r="B70" i="5"/>
  <c r="C18" i="5"/>
  <c r="C54" i="5" s="1"/>
  <c r="B54" i="5"/>
  <c r="B64" i="8"/>
  <c r="B50" i="5"/>
  <c r="B51" i="5" s="1"/>
  <c r="B65" i="3"/>
  <c r="B62" i="3"/>
  <c r="B45" i="3"/>
  <c r="B46" i="3" s="1"/>
  <c r="B33" i="5"/>
  <c r="B23" i="4"/>
  <c r="B69" i="4" s="1"/>
  <c r="B33" i="7"/>
  <c r="C33" i="7"/>
  <c r="C58" i="7" s="1"/>
  <c r="B58" i="8"/>
  <c r="B59" i="8"/>
  <c r="B35" i="4"/>
  <c r="B59" i="4" s="1"/>
  <c r="C35" i="4"/>
  <c r="C59" i="4" s="1"/>
  <c r="B35" i="3"/>
  <c r="B59" i="3" s="1"/>
  <c r="C35" i="3"/>
  <c r="C59" i="3" s="1"/>
  <c r="B23" i="3"/>
  <c r="B69" i="3" s="1"/>
  <c r="D17" i="2"/>
  <c r="D45" i="2" s="1"/>
  <c r="B18" i="2"/>
  <c r="C12" i="2"/>
  <c r="C11" i="2"/>
  <c r="F33" i="2"/>
  <c r="E33" i="2"/>
  <c r="D33" i="2"/>
  <c r="C32" i="2"/>
  <c r="B19" i="2"/>
  <c r="B50" i="2" s="1"/>
  <c r="B51" i="2" s="1"/>
  <c r="C18" i="2"/>
  <c r="C54" i="2" s="1"/>
  <c r="B16" i="2"/>
  <c r="C13" i="2"/>
  <c r="B17" i="2" l="1"/>
  <c r="D66" i="2"/>
  <c r="D63" i="2"/>
  <c r="C49" i="2"/>
  <c r="C57" i="2"/>
  <c r="C44" i="2"/>
  <c r="C12" i="7"/>
  <c r="C12" i="5"/>
  <c r="C12" i="6"/>
  <c r="B58" i="5"/>
  <c r="C13" i="5"/>
  <c r="C13" i="7"/>
  <c r="C13" i="6"/>
  <c r="C11" i="7"/>
  <c r="C11" i="5"/>
  <c r="C11" i="6"/>
  <c r="B54" i="2"/>
  <c r="B70" i="2"/>
  <c r="B63" i="2"/>
  <c r="B66" i="2"/>
  <c r="B18" i="6"/>
  <c r="B35" i="5"/>
  <c r="B35" i="7"/>
  <c r="C50" i="5"/>
  <c r="B64" i="3"/>
  <c r="B62" i="2"/>
  <c r="B65" i="2"/>
  <c r="B45" i="2"/>
  <c r="B46" i="2" s="1"/>
  <c r="B17" i="5"/>
  <c r="B17" i="6"/>
  <c r="D17" i="5"/>
  <c r="D45" i="5" s="1"/>
  <c r="D17" i="6"/>
  <c r="D45" i="6" s="1"/>
  <c r="D17" i="7"/>
  <c r="D45" i="7" s="1"/>
  <c r="C17" i="2"/>
  <c r="C45" i="2" s="1"/>
  <c r="C46" i="2" s="1"/>
  <c r="B32" i="2"/>
  <c r="C34" i="2" s="1"/>
  <c r="B16" i="7"/>
  <c r="B32" i="7" s="1"/>
  <c r="B58" i="7" s="1"/>
  <c r="B16" i="5"/>
  <c r="B32" i="5" s="1"/>
  <c r="B16" i="6"/>
  <c r="B32" i="6" s="1"/>
  <c r="C19" i="2"/>
  <c r="C50" i="2" s="1"/>
  <c r="C51" i="2" s="1"/>
  <c r="F17" i="7"/>
  <c r="F45" i="7" s="1"/>
  <c r="F17" i="5"/>
  <c r="F45" i="5" s="1"/>
  <c r="F17" i="6"/>
  <c r="F45" i="6" s="1"/>
  <c r="C33" i="5"/>
  <c r="C58" i="5" s="1"/>
  <c r="B23" i="2"/>
  <c r="B69" i="2" s="1"/>
  <c r="B33" i="2"/>
  <c r="C33" i="2"/>
  <c r="C58" i="2" s="1"/>
  <c r="B58" i="2" l="1"/>
  <c r="B66" i="6"/>
  <c r="B63" i="6"/>
  <c r="B50" i="6"/>
  <c r="B51" i="6" s="1"/>
  <c r="B70" i="6"/>
  <c r="C18" i="6"/>
  <c r="B54" i="6"/>
  <c r="B33" i="6"/>
  <c r="C49" i="6"/>
  <c r="C57" i="6"/>
  <c r="C44" i="6"/>
  <c r="C49" i="7"/>
  <c r="C51" i="7" s="1"/>
  <c r="C44" i="7"/>
  <c r="C57" i="7"/>
  <c r="B63" i="7"/>
  <c r="B66" i="7"/>
  <c r="C35" i="7"/>
  <c r="B34" i="2"/>
  <c r="C49" i="5"/>
  <c r="C51" i="5" s="1"/>
  <c r="C57" i="5"/>
  <c r="C44" i="5"/>
  <c r="B66" i="5"/>
  <c r="B63" i="5"/>
  <c r="C35" i="5"/>
  <c r="B64" i="2"/>
  <c r="B65" i="6"/>
  <c r="B62" i="6"/>
  <c r="B45" i="6"/>
  <c r="B46" i="6" s="1"/>
  <c r="B62" i="5"/>
  <c r="B65" i="5"/>
  <c r="B45" i="5"/>
  <c r="B46" i="5" s="1"/>
  <c r="C34" i="5"/>
  <c r="B34" i="5"/>
  <c r="B59" i="5" s="1"/>
  <c r="B17" i="7"/>
  <c r="C17" i="6"/>
  <c r="C45" i="6" s="1"/>
  <c r="C46" i="6" s="1"/>
  <c r="B23" i="6"/>
  <c r="B69" i="6" s="1"/>
  <c r="C34" i="6"/>
  <c r="B34" i="6"/>
  <c r="B34" i="7"/>
  <c r="B59" i="7" s="1"/>
  <c r="C34" i="7"/>
  <c r="B23" i="5"/>
  <c r="B69" i="5" s="1"/>
  <c r="C17" i="5"/>
  <c r="C45" i="5" s="1"/>
  <c r="B35" i="2"/>
  <c r="B59" i="2" s="1"/>
  <c r="C35" i="2"/>
  <c r="C59" i="2" s="1"/>
  <c r="C33" i="6" l="1"/>
  <c r="C58" i="6" s="1"/>
  <c r="C54" i="6"/>
  <c r="C50" i="6"/>
  <c r="C51" i="6" s="1"/>
  <c r="B64" i="6"/>
  <c r="C59" i="5"/>
  <c r="C59" i="7"/>
  <c r="B58" i="6"/>
  <c r="C35" i="6"/>
  <c r="C59" i="6" s="1"/>
  <c r="B35" i="6"/>
  <c r="B59" i="6" s="1"/>
  <c r="C46" i="5"/>
  <c r="B64" i="5"/>
  <c r="B45" i="7"/>
  <c r="B46" i="7" s="1"/>
  <c r="B62" i="7"/>
  <c r="B65" i="7"/>
  <c r="C17" i="7"/>
  <c r="C45" i="7" s="1"/>
  <c r="C46" i="7" s="1"/>
  <c r="B23" i="7"/>
  <c r="B69" i="7" s="1"/>
  <c r="B64" i="7" l="1"/>
</calcChain>
</file>

<file path=xl/sharedStrings.xml><?xml version="1.0" encoding="utf-8"?>
<sst xmlns="http://schemas.openxmlformats.org/spreadsheetml/2006/main" count="497" uniqueCount="133">
  <si>
    <t>Indicador</t>
  </si>
  <si>
    <t>Total programa</t>
  </si>
  <si>
    <t>Producto</t>
  </si>
  <si>
    <t>Subs. Atención Directa</t>
  </si>
  <si>
    <t>Equipamiento</t>
  </si>
  <si>
    <t>Construcción</t>
  </si>
  <si>
    <t>Insumos</t>
  </si>
  <si>
    <t xml:space="preserve">Beneficiarios 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</si>
  <si>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</si>
  <si>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</si>
  <si>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</si>
  <si>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</si>
  <si>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</si>
  <si>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</si>
  <si>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</si>
  <si>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</si>
  <si>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</si>
  <si>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</si>
  <si>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Población objetivo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</si>
  <si>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</si>
  <si>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</si>
  <si>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</si>
  <si>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</si>
  <si>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</si>
  <si>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</si>
  <si>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</si>
  <si>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</si>
  <si>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</si>
  <si>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</si>
  <si>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</si>
  <si>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</si>
  <si>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</si>
  <si>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</si>
  <si>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</si>
  <si>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</si>
  <si>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</si>
  <si>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</si>
  <si>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</si>
  <si>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</si>
  <si>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</si>
  <si>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</si>
  <si>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</si>
  <si>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</si>
  <si>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</si>
  <si>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</si>
  <si>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</si>
  <si>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</si>
  <si>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PAO Ciudad de los niños 2011.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</si>
  <si>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</si>
  <si>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</si>
  <si>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</si>
  <si>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</si>
  <si>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</si>
  <si>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</si>
  <si>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</si>
  <si>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</si>
  <si>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</si>
  <si>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</si>
  <si>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Promedio Mensual</t>
  </si>
  <si>
    <t>Efectivos 2T 2010</t>
  </si>
  <si>
    <t>Programados 2T 2011</t>
  </si>
  <si>
    <t>Efectivos 2T 2011</t>
  </si>
  <si>
    <t>En transferencias 2T 2011</t>
  </si>
  <si>
    <t>IPC (2T 2010)</t>
  </si>
  <si>
    <t>IPC (2T 2011)</t>
  </si>
  <si>
    <t>Gasto efectivo real 2T 2010</t>
  </si>
  <si>
    <t>Gasto efectivo real 2T 2011</t>
  </si>
  <si>
    <t>Gasto efectivo real por beneficiario 2T 2010</t>
  </si>
  <si>
    <t>Gasto efectivo real por beneficiario 2T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</si>
  <si>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</si>
  <si>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</si>
  <si>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</si>
  <si>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</si>
  <si>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</si>
  <si>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</si>
  <si>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</si>
  <si>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</si>
  <si>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</si>
  <si>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</si>
  <si>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1S 2010</t>
  </si>
  <si>
    <t>Programados 1S 2011</t>
  </si>
  <si>
    <t>Efectivos 1S 2011</t>
  </si>
  <si>
    <t>En transferencias 1S 2011</t>
  </si>
  <si>
    <t>IPC (1S 2010)</t>
  </si>
  <si>
    <t>IPC (1S 2011)</t>
  </si>
  <si>
    <t>Gasto efectivo real 1S 2010</t>
  </si>
  <si>
    <t>Gasto efectivo real 1S 2011</t>
  </si>
  <si>
    <t>Gasto efectivo real por beneficiario 1S 2010</t>
  </si>
  <si>
    <t>Gasto efectivo real por beneficiario 1S 2011</t>
  </si>
  <si>
    <t>Efectivos 3T. Ac. 2010</t>
  </si>
  <si>
    <t>Programados 3T. Ac. 2011</t>
  </si>
  <si>
    <t>Efectivos 3T. Ac. 2011</t>
  </si>
  <si>
    <t>En transferencias 3T. Ac. 2011</t>
  </si>
  <si>
    <t>IPC (3T. Ac. 2010)</t>
  </si>
  <si>
    <t>IPC (3T. Ac. 2011)</t>
  </si>
  <si>
    <t>Gasto efectivo real 3T. Ac. 2010</t>
  </si>
  <si>
    <t>Gasto efectivo real 3T. Ac. 2011</t>
  </si>
  <si>
    <t>Gasto efectivo real por beneficiario 3T. Ac. 2010</t>
  </si>
  <si>
    <t>Gasto efectivo real por beneficiario 3T. Ac.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</si>
  <si>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</si>
  <si>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</si>
  <si>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</si>
  <si>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</si>
  <si>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</si>
  <si>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</si>
  <si>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</si>
  <si>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</si>
  <si>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</si>
  <si>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</si>
  <si>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De Composición</t>
  </si>
  <si>
    <t>Informes Trimestrales 2011 de la Ciudad de los Niños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</si>
  <si>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</si>
  <si>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</si>
  <si>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</si>
  <si>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</si>
  <si>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</si>
  <si>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</si>
  <si>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</si>
  <si>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</si>
  <si>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Notas</t>
  </si>
  <si>
    <t>Los datos del 2010 son tomados de un documento con datos proporcionados por la Institución; no hay ningún informe oficial al respecto.</t>
  </si>
  <si>
    <t>El Total de beneficiarios del programa contabiliza los beneficiarios distintos atendidos en el período al menos una vez</t>
  </si>
  <si>
    <t>Los índices del gasto medio se calculan tomando los beneficiarios promedio del programa</t>
  </si>
  <si>
    <t>Población objetivo: No disponible: Personas pobres de 12 a 18 años que asisten a la educación secundaria y que requieren de atención especial (internado)</t>
  </si>
  <si>
    <t>Indicadores aplicados a Ciudad de los niños. Primer trimestre 2011</t>
  </si>
  <si>
    <t>Indicadores aplicados a Ciudad de los niños. Segundo trimestre 2011</t>
  </si>
  <si>
    <t>Indicadores aplicados a Ciudad de los niños. Tercer trimestre 2011</t>
  </si>
  <si>
    <t>Indicadores aplicados a Ciudad de los niños. Primer Semestre 2011</t>
  </si>
  <si>
    <t>Indicadores aplicados a Ciudad de los niños. Tercer Trimestre Acumulado 2011</t>
  </si>
  <si>
    <t>Indicadores aplicados a Ciudad de los niños.  Año 2011</t>
  </si>
  <si>
    <t>n.a.</t>
  </si>
  <si>
    <t>Indicadores aplicados a Ciudad de los Niños. Cuarto trimestre 2011</t>
  </si>
  <si>
    <t>Subs. Atención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</si>
</sst>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3" xfId="1" applyNumberFormat="1" applyFont="1" applyBorder="1" applyAlignment="1">
      <alignment horizontal="center"/>
    </xf>
    <xf numFmtId="164" fontId="0" fillId="0" borderId="4" xfId="1" applyNumberFormat="1" applyFont="1" applyBorder="1"/>
    <xf numFmtId="164" fontId="3" fillId="0" borderId="0" xfId="1" applyNumberFormat="1" applyFont="1"/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left"/>
    </xf>
    <xf numFmtId="164" fontId="2" fillId="0" borderId="0" xfId="1" applyNumberFormat="1" applyFont="1"/>
    <xf numFmtId="164" fontId="0" fillId="0" borderId="3" xfId="1" applyNumberFormat="1" applyFont="1" applyBorder="1"/>
    <xf numFmtId="164" fontId="0" fillId="0" borderId="0" xfId="1" applyNumberFormat="1" applyFont="1" applyAlignment="1">
      <alignment wrapText="1"/>
    </xf>
    <xf numFmtId="164" fontId="0" fillId="0" borderId="0" xfId="1" applyNumberFormat="1" applyFont="1" applyAlignment="1"/>
    <xf numFmtId="164" fontId="0" fillId="0" borderId="3" xfId="1" applyNumberFormat="1" applyFont="1" applyFill="1" applyBorder="1" applyAlignment="1">
      <alignment horizontal="center"/>
    </xf>
    <xf numFmtId="164" fontId="0" fillId="0" borderId="4" xfId="1" applyNumberFormat="1" applyFont="1" applyFill="1" applyBorder="1"/>
    <xf numFmtId="164" fontId="3" fillId="0" borderId="0" xfId="1" applyNumberFormat="1" applyFont="1" applyFill="1"/>
    <xf numFmtId="164" fontId="0" fillId="0" borderId="0" xfId="1" applyNumberFormat="1" applyFont="1" applyFill="1" applyAlignment="1">
      <alignment horizontal="left" indent="1"/>
    </xf>
    <xf numFmtId="164" fontId="0" fillId="0" borderId="0" xfId="1" applyNumberFormat="1" applyFont="1" applyFill="1" applyAlignment="1">
      <alignment horizontal="left"/>
    </xf>
    <xf numFmtId="164" fontId="2" fillId="0" borderId="0" xfId="1" applyNumberFormat="1" applyFont="1" applyFill="1"/>
    <xf numFmtId="164" fontId="0" fillId="0" borderId="3" xfId="1" applyNumberFormat="1" applyFont="1" applyFill="1" applyBorder="1"/>
    <xf numFmtId="164" fontId="0" fillId="0" borderId="0" xfId="1" applyNumberFormat="1" applyFont="1" applyFill="1" applyAlignment="1">
      <alignment wrapText="1"/>
    </xf>
    <xf numFmtId="43" fontId="0" fillId="0" borderId="0" xfId="1" applyNumberFormat="1" applyFont="1" applyFill="1"/>
    <xf numFmtId="165" fontId="0" fillId="0" borderId="0" xfId="1" applyNumberFormat="1" applyFont="1"/>
    <xf numFmtId="164" fontId="4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wrapText="1"/>
    </xf>
    <xf numFmtId="164" fontId="0" fillId="0" borderId="3" xfId="1" applyNumberFormat="1" applyFont="1" applyBorder="1" applyAlignment="1">
      <alignment horizontal="center" wrapText="1"/>
    </xf>
    <xf numFmtId="164" fontId="0" fillId="0" borderId="2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wrapText="1"/>
    </xf>
    <xf numFmtId="164" fontId="0" fillId="0" borderId="3" xfId="1" applyNumberFormat="1" applyFont="1" applyFill="1" applyBorder="1" applyAlignment="1">
      <alignment horizontal="center" wrapText="1"/>
    </xf>
    <xf numFmtId="164" fontId="0" fillId="0" borderId="2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Indicadores de Resultado: Índice de Efectividad en Gasto por Producto por Trimestre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98421143303034"/>
          <c:y val="0.22287152543265759"/>
          <c:w val="0.57867521161081859"/>
          <c:h val="0.47005354670598881"/>
        </c:manualLayout>
      </c:layout>
      <c:bar3D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Trimestre'!$B$4:$B$5,'I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Subs. Atención</c:v>
                </c:pt>
                <c:pt idx="2">
                  <c:v>Equipamiento</c:v>
                </c:pt>
                <c:pt idx="3">
                  <c:v>Construcción</c:v>
                </c:pt>
              </c:strCache>
            </c:strRef>
          </c:cat>
          <c:val>
            <c:numRef>
              <c:f>('I Trimestre'!$B$45,'I Trimestre'!$D$45,'I Trimestre'!$E$45,'I Trimestre'!$F$45)</c:f>
              <c:numCache>
                <c:formatCode>_(* #,##0.00_);_(* \(#,##0.00\);_(* "-"??_);_(@_)</c:formatCode>
                <c:ptCount val="4"/>
                <c:pt idx="0">
                  <c:v>87.642631236090054</c:v>
                </c:pt>
                <c:pt idx="1">
                  <c:v>35.71241621428571</c:v>
                </c:pt>
                <c:pt idx="2">
                  <c:v>351.50032818749997</c:v>
                </c:pt>
                <c:pt idx="3">
                  <c:v>3.23577011288593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Trimestre'!$B$4:$B$5,'I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Subs. Atención</c:v>
                </c:pt>
                <c:pt idx="2">
                  <c:v>Equipamiento</c:v>
                </c:pt>
                <c:pt idx="3">
                  <c:v>Construcción</c:v>
                </c:pt>
              </c:strCache>
            </c:strRef>
          </c:cat>
          <c:val>
            <c:numRef>
              <c:f>('II Trimestre'!$B$45,'II Trimestre'!$D$45,'II Trimestre'!$E$45,'II Trimestre'!$F$45)</c:f>
              <c:numCache>
                <c:formatCode>_(* #,##0.00_);_(* \(#,##0.00\);_(* "-"??_);_(@_)</c:formatCode>
                <c:ptCount val="4"/>
                <c:pt idx="0">
                  <c:v>18.482734156479648</c:v>
                </c:pt>
                <c:pt idx="1">
                  <c:v>148.05893959259257</c:v>
                </c:pt>
                <c:pt idx="2">
                  <c:v>1.6167936830086411</c:v>
                </c:pt>
                <c:pt idx="3">
                  <c:v>5.145801994858612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Trimestre'!$B$4:$B$5,'I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Subs. Atención</c:v>
                </c:pt>
                <c:pt idx="2">
                  <c:v>Equipamiento</c:v>
                </c:pt>
                <c:pt idx="3">
                  <c:v>Construcción</c:v>
                </c:pt>
              </c:strCache>
            </c:strRef>
          </c:cat>
          <c:val>
            <c:numRef>
              <c:f>('III Trimestre'!$B$45,'III Trimestre'!$D$45,'III Trimestre'!$E$45,'III Trimestre'!$F$45)</c:f>
              <c:numCache>
                <c:formatCode>_(* #,##0.00_);_(* \(#,##0.00\);_(* "-"??_);_(@_)</c:formatCode>
                <c:ptCount val="4"/>
                <c:pt idx="0">
                  <c:v>47.162770654478976</c:v>
                </c:pt>
                <c:pt idx="1">
                  <c:v>111.0486995185185</c:v>
                </c:pt>
                <c:pt idx="2">
                  <c:v>246.51385714285715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Trimestre'!$B$4:$B$5,'I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Subs. Atención</c:v>
                </c:pt>
                <c:pt idx="2">
                  <c:v>Equipamiento</c:v>
                </c:pt>
                <c:pt idx="3">
                  <c:v>Construcción</c:v>
                </c:pt>
              </c:strCache>
            </c:strRef>
          </c:cat>
          <c:val>
            <c:numRef>
              <c:f>('IV Trimestre'!$B$45,'IV Trimestre'!$D$45,'IV Trimestre'!$E$45,'IV Trimestre'!$F$45)</c:f>
              <c:numCache>
                <c:formatCode>_(* #,##0.00_);_(* \(#,##0.00\);_(* "-"??_);_(@_)</c:formatCode>
                <c:ptCount val="4"/>
                <c:pt idx="0">
                  <c:v>832.10604892592596</c:v>
                </c:pt>
                <c:pt idx="1">
                  <c:v>91.884522814814815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255424"/>
        <c:axId val="198255808"/>
        <c:axId val="0"/>
      </c:bar3DChart>
      <c:catAx>
        <c:axId val="19825542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98255808"/>
        <c:crosses val="autoZero"/>
        <c:auto val="1"/>
        <c:lblAlgn val="ctr"/>
        <c:lblOffset val="100"/>
        <c:noMultiLvlLbl val="0"/>
      </c:catAx>
      <c:valAx>
        <c:axId val="1982558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8255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s-C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Resultado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681552076300122E-2"/>
          <c:y val="0.17816883704895581"/>
          <c:w val="0.53633558963024364"/>
          <c:h val="0.36841015659559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'Anual 2011'!$A$44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('Anual 2011'!$B$4:$B$5,'Anual 2011'!$C$4:$C$5,'Anual 2011'!$D$5,'Anual 2011'!$E$5,'Anual 2011'!$F$5)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'Anual 2011'!$B$44:$C$44</c:f>
              <c:numCache>
                <c:formatCode>_(* #,##0.00_);_(* \(#,##0.00\);_(* "-"??_);_(@_)</c:formatCode>
                <c:ptCount val="2"/>
                <c:pt idx="0">
                  <c:v>101.25</c:v>
                </c:pt>
                <c:pt idx="1">
                  <c:v>86.022727272727266</c:v>
                </c:pt>
              </c:numCache>
            </c:numRef>
          </c:val>
        </c:ser>
        <c:ser>
          <c:idx val="1"/>
          <c:order val="1"/>
          <c:tx>
            <c:strRef>
              <c:f>'Anual 2011'!$A$45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('Anual 2011'!$B$4:$B$5,'Anual 2011'!$C$4:$C$5,'Anual 2011'!$D$5,'Anual 2011'!$E$5,'Anual 2011'!$F$5)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'Anual 2011'!$B$45:$F$45</c:f>
              <c:numCache>
                <c:formatCode>_(* #,##0.00_);_(* \(#,##0.00\);_(* "-"??_);_(@_)</c:formatCode>
                <c:ptCount val="5"/>
                <c:pt idx="0">
                  <c:v>82.19887027104113</c:v>
                </c:pt>
                <c:pt idx="1">
                  <c:v>82.19887027104113</c:v>
                </c:pt>
                <c:pt idx="2">
                  <c:v>96.116844275229354</c:v>
                </c:pt>
                <c:pt idx="3">
                  <c:v>96.374268652847505</c:v>
                </c:pt>
                <c:pt idx="4">
                  <c:v>67.625343224863357</c:v>
                </c:pt>
              </c:numCache>
            </c:numRef>
          </c:val>
        </c:ser>
        <c:ser>
          <c:idx val="2"/>
          <c:order val="2"/>
          <c:tx>
            <c:strRef>
              <c:f>'Anual 2011'!$A$46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('Anual 2011'!$B$4:$B$5,'Anual 2011'!$C$4:$C$5,'Anual 2011'!$D$5,'Anual 2011'!$E$5,'Anual 2011'!$F$5)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'Anual 2011'!$B$46:$C$46</c:f>
              <c:numCache>
                <c:formatCode>_(* #,##0.00_);_(* \(#,##0.00\);_(* "-"??_);_(@_)</c:formatCode>
                <c:ptCount val="2"/>
                <c:pt idx="0">
                  <c:v>91.724435135520565</c:v>
                </c:pt>
                <c:pt idx="1">
                  <c:v>84.110798771884191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74096"/>
        <c:axId val="198074488"/>
      </c:barChart>
      <c:catAx>
        <c:axId val="19807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8074488"/>
        <c:crosses val="autoZero"/>
        <c:auto val="1"/>
        <c:lblAlgn val="ctr"/>
        <c:lblOffset val="100"/>
        <c:noMultiLvlLbl val="0"/>
      </c:catAx>
      <c:valAx>
        <c:axId val="1980744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9807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Avance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878108517472153E-2"/>
          <c:y val="0.18208820553919419"/>
          <c:w val="0.55235823011891594"/>
          <c:h val="0.35984317621992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'Anual 2011'!$A$49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('Anual 2011'!$B$4:$B$5,'Anual 2011'!$C$4:$C$5,'Anual 2011'!$D$5,'Anual 2011'!$E$5,'Anual 2011'!$F$5)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'Anual 2011'!$B$49:$C$49</c:f>
              <c:numCache>
                <c:formatCode>_(* #,##0.00_);_(* \(#,##0.00\);_(* "-"??_);_(@_)</c:formatCode>
                <c:ptCount val="2"/>
                <c:pt idx="0">
                  <c:v>101.25</c:v>
                </c:pt>
                <c:pt idx="1">
                  <c:v>86.022727272727266</c:v>
                </c:pt>
              </c:numCache>
            </c:numRef>
          </c:val>
        </c:ser>
        <c:ser>
          <c:idx val="1"/>
          <c:order val="1"/>
          <c:tx>
            <c:strRef>
              <c:f>'Anual 2011'!$A$50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('Anual 2011'!$B$4:$B$5,'Anual 2011'!$C$4:$C$5,'Anual 2011'!$D$5,'Anual 2011'!$E$5,'Anual 2011'!$F$5)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'Anual 2011'!$B$50:$F$50</c:f>
              <c:numCache>
                <c:formatCode>_(* #,##0.00_);_(* \(#,##0.00\);_(* "-"??_);_(@_)</c:formatCode>
                <c:ptCount val="5"/>
                <c:pt idx="0">
                  <c:v>82.19887027104113</c:v>
                </c:pt>
                <c:pt idx="1">
                  <c:v>82.19887027104113</c:v>
                </c:pt>
                <c:pt idx="2">
                  <c:v>96.116844275229354</c:v>
                </c:pt>
                <c:pt idx="3">
                  <c:v>96.374268652847505</c:v>
                </c:pt>
                <c:pt idx="4">
                  <c:v>67.625343224863357</c:v>
                </c:pt>
              </c:numCache>
            </c:numRef>
          </c:val>
        </c:ser>
        <c:ser>
          <c:idx val="2"/>
          <c:order val="2"/>
          <c:tx>
            <c:strRef>
              <c:f>'Anual 2011'!$A$51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('Anual 2011'!$B$4:$B$5,'Anual 2011'!$C$4:$C$5,'Anual 2011'!$D$5,'Anual 2011'!$E$5,'Anual 2011'!$F$5)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'Anual 2011'!$B$51:$C$51</c:f>
              <c:numCache>
                <c:formatCode>_(* #,##0.00_);_(* \(#,##0.00\);_(* "-"??_);_(@_)</c:formatCode>
                <c:ptCount val="2"/>
                <c:pt idx="0">
                  <c:v>91.724435135520565</c:v>
                </c:pt>
                <c:pt idx="1">
                  <c:v>84.110798771884191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75272"/>
        <c:axId val="198075664"/>
      </c:barChart>
      <c:catAx>
        <c:axId val="198075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8075664"/>
        <c:crosses val="autoZero"/>
        <c:auto val="1"/>
        <c:lblAlgn val="ctr"/>
        <c:lblOffset val="100"/>
        <c:noMultiLvlLbl val="0"/>
      </c:catAx>
      <c:valAx>
        <c:axId val="1980756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98075272"/>
        <c:crosses val="autoZero"/>
        <c:crossBetween val="between"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Expansión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502E-2"/>
          <c:y val="0.19480351414406533"/>
          <c:w val="0.52637270341207354"/>
          <c:h val="0.58736475648877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'Anual 2011'!$A$57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'Anual 2011'!$B$4:$C$5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'Anual 2011'!$B$57</c:f>
              <c:numCache>
                <c:formatCode>_(* #,##0.00_);_(* \(#,##0.00\);_(* "-"??_);_(@_)</c:formatCode>
                <c:ptCount val="1"/>
                <c:pt idx="0">
                  <c:v>26.5625</c:v>
                </c:pt>
              </c:numCache>
            </c:numRef>
          </c:val>
        </c:ser>
        <c:ser>
          <c:idx val="1"/>
          <c:order val="1"/>
          <c:tx>
            <c:strRef>
              <c:f>'Anual 2011'!$A$58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'Anual 2011'!$B$4:$C$5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'Anual 2011'!$B$58</c:f>
              <c:numCache>
                <c:formatCode>_(* #,##0.00_);_(* \(#,##0.00\);_(* "-"??_);_(@_)</c:formatCode>
                <c:ptCount val="1"/>
                <c:pt idx="0">
                  <c:v>219.87400031310239</c:v>
                </c:pt>
              </c:numCache>
            </c:numRef>
          </c:val>
        </c:ser>
        <c:ser>
          <c:idx val="2"/>
          <c:order val="2"/>
          <c:tx>
            <c:strRef>
              <c:f>'Anual 2011'!$A$59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'Anual 2011'!$B$4:$C$5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'Anual 2011'!$B$59</c:f>
              <c:numCache>
                <c:formatCode>_(* #,##0.00_);_(* \(#,##0.00\);_(* "-"??_);_(@_)</c:formatCode>
                <c:ptCount val="1"/>
                <c:pt idx="0">
                  <c:v>152.73995086467355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76448"/>
        <c:axId val="198076840"/>
      </c:barChart>
      <c:catAx>
        <c:axId val="19807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076840"/>
        <c:crosses val="autoZero"/>
        <c:auto val="1"/>
        <c:lblAlgn val="ctr"/>
        <c:lblOffset val="100"/>
        <c:noMultiLvlLbl val="0"/>
      </c:catAx>
      <c:valAx>
        <c:axId val="1980768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8076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Gasto Medio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30122660298552"/>
          <c:y val="0.17642582413047425"/>
          <c:w val="0.47235127929832538"/>
          <c:h val="0.58017101635880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'Anual 2011'!$A$62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'Anual 2011'!$B$4:$B$5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2011'!$B$62</c:f>
              <c:numCache>
                <c:formatCode>_(* #,##0_);_(* \(#,##0\);_(* "-"??_);_(@_)</c:formatCode>
                <c:ptCount val="1"/>
                <c:pt idx="0">
                  <c:v>127576.7790909091</c:v>
                </c:pt>
              </c:numCache>
            </c:numRef>
          </c:val>
        </c:ser>
        <c:ser>
          <c:idx val="1"/>
          <c:order val="1"/>
          <c:tx>
            <c:strRef>
              <c:f>'Anual 2011'!$A$63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'Anual 2011'!$B$4:$B$5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2011'!$B$63</c:f>
              <c:numCache>
                <c:formatCode>_(* #,##0_);_(* \(#,##0\);_(* "-"??_);_(@_)</c:formatCode>
                <c:ptCount val="1"/>
                <c:pt idx="0">
                  <c:v>121905.77358520475</c:v>
                </c:pt>
              </c:numCache>
            </c:numRef>
          </c:val>
        </c:ser>
        <c:ser>
          <c:idx val="2"/>
          <c:order val="2"/>
          <c:tx>
            <c:strRef>
              <c:f>'Anual 2011'!$A$65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invertIfNegative val="0"/>
          <c:cat>
            <c:strRef>
              <c:f>'Anual 2011'!$B$4:$B$5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2011'!$B$65</c:f>
              <c:numCache>
                <c:formatCode>_(* #,##0_);_(* \(#,##0\);_(* "-"??_);_(@_)</c:formatCode>
                <c:ptCount val="1"/>
                <c:pt idx="0">
                  <c:v>1530921.3490909091</c:v>
                </c:pt>
              </c:numCache>
            </c:numRef>
          </c:val>
        </c:ser>
        <c:ser>
          <c:idx val="3"/>
          <c:order val="3"/>
          <c:tx>
            <c:strRef>
              <c:f>'Anual 2011'!$A$66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invertIfNegative val="0"/>
          <c:cat>
            <c:strRef>
              <c:f>'Anual 2011'!$B$4:$B$5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2011'!$B$66</c:f>
              <c:numCache>
                <c:formatCode>_(* #,##0_);_(* \(#,##0\);_(* "-"??_);_(@_)</c:formatCode>
                <c:ptCount val="1"/>
                <c:pt idx="0">
                  <c:v>1462869.283022457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77624"/>
        <c:axId val="198078016"/>
      </c:barChart>
      <c:catAx>
        <c:axId val="198077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078016"/>
        <c:crosses val="autoZero"/>
        <c:auto val="1"/>
        <c:lblAlgn val="ctr"/>
        <c:lblOffset val="100"/>
        <c:noMultiLvlLbl val="0"/>
      </c:catAx>
      <c:valAx>
        <c:axId val="1980780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98077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Giro de Recursos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54396325459318E-2"/>
          <c:y val="0.19480351414406533"/>
          <c:w val="0.75923359580052496"/>
          <c:h val="0.46236475648877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'Anual 2011'!$A$69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'Anual 2011'!$B$4:$B$5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2011'!$B$69</c:f>
              <c:numCache>
                <c:formatCode>_(* #,##0.00_);_(* \(#,##0.00\);_(* "-"??_);_(@_)</c:formatCode>
                <c:ptCount val="1"/>
                <c:pt idx="0">
                  <c:v>87.233567195118738</c:v>
                </c:pt>
              </c:numCache>
            </c:numRef>
          </c:val>
        </c:ser>
        <c:ser>
          <c:idx val="1"/>
          <c:order val="1"/>
          <c:tx>
            <c:strRef>
              <c:f>'Anual 2011'!$A$70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'Anual 2011'!$B$4:$B$5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2011'!$B$70</c:f>
              <c:numCache>
                <c:formatCode>_(* #,##0.00_);_(* \(#,##0.00\);_(* "-"??_);_(@_)</c:formatCode>
                <c:ptCount val="1"/>
                <c:pt idx="0">
                  <c:v>94.22848670991948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78800"/>
        <c:axId val="198079192"/>
      </c:barChart>
      <c:catAx>
        <c:axId val="19807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079192"/>
        <c:crosses val="autoZero"/>
        <c:auto val="1"/>
        <c:lblAlgn val="ctr"/>
        <c:lblOffset val="100"/>
        <c:noMultiLvlLbl val="0"/>
      </c:catAx>
      <c:valAx>
        <c:axId val="1980791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8078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16272965879266E-2"/>
          <c:y val="0.79591243802857981"/>
          <c:w val="0.87303412073490816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9.8627296587926502E-2"/>
          <c:y val="0.19480351414406533"/>
          <c:w val="0.7357060367454068"/>
          <c:h val="0.49014253426655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'Anual 2011'!$A$64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'Anual 2011'!$B$4:$B$5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2011'!$B$64</c:f>
              <c:numCache>
                <c:formatCode>_(* #,##0.00_);_(* \(#,##0.00\);_(* "-"??_);_(@_)</c:formatCode>
                <c:ptCount val="1"/>
                <c:pt idx="0">
                  <c:v>95.991417423259321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79976"/>
        <c:axId val="198080368"/>
      </c:barChart>
      <c:catAx>
        <c:axId val="198079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080368"/>
        <c:crosses val="autoZero"/>
        <c:auto val="1"/>
        <c:lblAlgn val="ctr"/>
        <c:lblOffset val="100"/>
        <c:noMultiLvlLbl val="0"/>
      </c:catAx>
      <c:valAx>
        <c:axId val="1980803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98079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504440069991253"/>
          <c:y val="0.80054206765820934"/>
          <c:w val="0.35546653543307088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485775</xdr:colOff>
      <xdr:row>11</xdr:row>
      <xdr:rowOff>61911</xdr:rowOff>
    </xdr:from>
    <xdr:to>
      <xdr:col>20</xdr:col>
      <xdr:colOff>314325</xdr:colOff>
      <xdr:row>32</xdr:row>
      <xdr:rowOff>123824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0.10986</cdr:x>
      <cdr:y>0.88472</cdr:y>
    </cdr:from>
    <cdr:to>
      <cdr:x>0.89603</cdr:x>
      <cdr:y>0.95903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50875" y="3594100"/>
          <a:ext cx="4657725" cy="30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y DESAF .</a:t>
          </a:r>
          <a:endParaRPr lang="es-CR" sz="900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5</xdr:row>
      <xdr:rowOff>66675</xdr:rowOff>
    </xdr:from>
    <xdr:to>
      <xdr:col>12</xdr:col>
      <xdr:colOff>266700</xdr:colOff>
      <xdr:row>23</xdr:row>
      <xdr:rowOff>19050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307975</xdr:colOff>
      <xdr:row>23</xdr:row>
      <xdr:rowOff>179915</xdr:rowOff>
    </xdr:from>
    <xdr:to>
      <xdr:col>13</xdr:col>
      <xdr:colOff>28575</xdr:colOff>
      <xdr:row>41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309033</xdr:colOff>
      <xdr:row>43</xdr:row>
      <xdr:rowOff>50800</xdr:rowOff>
    </xdr:from>
    <xdr:to>
      <xdr:col>12</xdr:col>
      <xdr:colOff>156633</xdr:colOff>
      <xdr:row>57</xdr:row>
      <xdr:rowOff>127000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335491</xdr:colOff>
      <xdr:row>58</xdr:row>
      <xdr:rowOff>47625</xdr:rowOff>
    </xdr:from>
    <xdr:to>
      <xdr:col>12</xdr:col>
      <xdr:colOff>371474</xdr:colOff>
      <xdr:row>74</xdr:row>
      <xdr:rowOff>9525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231776</xdr:colOff>
      <xdr:row>74</xdr:row>
      <xdr:rowOff>23283</xdr:rowOff>
    </xdr:from>
    <xdr:to>
      <xdr:col>12</xdr:col>
      <xdr:colOff>79376</xdr:colOff>
      <xdr:row>88</xdr:row>
      <xdr:rowOff>99483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286808</xdr:colOff>
      <xdr:row>90</xdr:row>
      <xdr:rowOff>1058</xdr:rowOff>
    </xdr:from>
    <xdr:to>
      <xdr:col>12</xdr:col>
      <xdr:colOff>134408</xdr:colOff>
      <xdr:row>104</xdr:row>
      <xdr:rowOff>77258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0.01168</cdr:x>
      <cdr:y>0.89936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5033" y="2697459"/>
          <a:ext cx="4657725" cy="301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y  DESAF  .</a:t>
          </a:r>
          <a:endParaRPr lang="es-CR" sz="900">
            <a:latin typeface="+mn-lt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0.02256</cdr:x>
      <cdr:y>0.90796</cdr:y>
    </cdr:from>
    <cdr:to>
      <cdr:x>0.91707</cdr:x>
      <cdr:y>0.99695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17475" y="3079750"/>
          <a:ext cx="4657725" cy="301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 .</a:t>
          </a:r>
          <a:endParaRPr lang="es-CR" sz="900">
            <a:latin typeface="+mn-lt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0.88996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41341"/>
          <a:ext cx="4572000" cy="301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ejecutoras, DESAF  e INEC .</a:t>
          </a:r>
          <a:endParaRPr lang="es-CR" sz="900">
            <a:latin typeface="+mn-lt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0.01067</cdr:x>
      <cdr:y>0.90034</cdr:y>
    </cdr:from>
    <cdr:to>
      <cdr:x>0.98911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0800" y="2727091"/>
          <a:ext cx="4657725" cy="301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 .</a:t>
          </a:r>
          <a:endParaRPr lang="es-CR" sz="900">
            <a:latin typeface="+mn-lt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0.88996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41341"/>
          <a:ext cx="4572000" cy="301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 DESAF .</a:t>
          </a:r>
          <a:endParaRPr lang="es-CR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0.88996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41341"/>
          <a:ext cx="4572000" cy="301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 .</a:t>
          </a:r>
          <a:endParaRPr lang="es-CR" sz="90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6"/>
  <sheetViews>
    <sheetView tabSelected="1" workbookViewId="0">
      <selection activeCell="D144" sqref="D144:I146"/>
    </sheetView>
  </sheetViews>
  <sheetFormatPr baseColWidth="10" defaultRowHeight="15" x14ac:dyDescent="0.25"/>
  <cols>
    <col min="1" max="1" width="55.140625" style="3" customWidth="1"/>
    <col min="2" max="2" width="15.140625" style="3" bestFit="1" customWidth="1"/>
    <col min="3" max="3" width="13.85546875" style="3" customWidth="1"/>
    <col min="4" max="4" width="20.7109375" style="3" customWidth="1"/>
    <col min="5" max="5" width="13.7109375" style="3" customWidth="1"/>
    <col min="6" max="6" width="15.28515625" style="3" bestFit="1" customWidth="1"/>
    <col min="7" max="7" width="13.85546875" style="3" bestFit="1" customWidth="1"/>
    <col min="8" max="8" width="12.5703125" style="3" bestFit="1" customWidth="1"/>
    <col min="9" max="16384" width="11.42578125" style="3"/>
  </cols>
  <sheetData>
    <row r="2" spans="1:6" ht="15.75" x14ac:dyDescent="0.25">
      <c r="A2" s="23" t="s">
        <v>124</v>
      </c>
      <c r="B2" s="23"/>
      <c r="C2" s="23"/>
      <c r="D2" s="23"/>
      <c r="E2" s="23"/>
      <c r="F2" s="23"/>
    </row>
    <row r="4" spans="1:6" ht="15" customHeight="1" x14ac:dyDescent="0.25">
      <c r="A4" s="24" t="s">
        <v>0</v>
      </c>
      <c r="B4" s="26" t="s">
        <v>1</v>
      </c>
      <c r="C4" s="26" t="s">
        <v>58</v>
      </c>
      <c r="D4" s="28" t="s">
        <v>2</v>
      </c>
      <c r="E4" s="28"/>
      <c r="F4" s="28"/>
    </row>
    <row r="5" spans="1:6" ht="15.75" thickBot="1" x14ac:dyDescent="0.3">
      <c r="A5" s="25"/>
      <c r="B5" s="27"/>
      <c r="C5" s="27"/>
      <c r="D5" s="4" t="s">
        <v>132</v>
      </c>
      <c r="E5" s="5" t="s">
        <v>4</v>
      </c>
      <c r="F5" s="5" t="s">
        <v>5</v>
      </c>
    </row>
    <row r="6" spans="1:6" ht="15.75" thickTop="1" x14ac:dyDescent="0.25"/>
    <row r="7" spans="1:6" x14ac:dyDescent="0.25">
      <c r="A7" s="6" t="s">
        <v>6</v>
      </c>
    </row>
    <row r="9" spans="1:6" x14ac:dyDescent="0.25">
      <c r="A9" s="3" t="s">
        <v>7</v>
      </c>
    </row>
    <row r="10" spans="1:6" x14ac:dyDescent="0.25">
      <c r="A10" s="7" t="s">
        <v>48</v>
      </c>
      <c r="B10" s="1">
        <v>320</v>
      </c>
      <c r="C10" s="1">
        <v>320</v>
      </c>
      <c r="D10" s="1"/>
      <c r="E10" s="1"/>
      <c r="F10" s="1"/>
    </row>
    <row r="11" spans="1:6" x14ac:dyDescent="0.25">
      <c r="A11" s="7" t="s">
        <v>49</v>
      </c>
      <c r="B11" s="1">
        <v>400</v>
      </c>
      <c r="C11" s="1">
        <f>(0+400+400)/3</f>
        <v>266.66666666666669</v>
      </c>
      <c r="D11" s="1"/>
      <c r="E11" s="1"/>
      <c r="F11" s="1"/>
    </row>
    <row r="12" spans="1:6" x14ac:dyDescent="0.25">
      <c r="A12" s="7" t="s">
        <v>50</v>
      </c>
      <c r="B12" s="1">
        <v>405</v>
      </c>
      <c r="C12" s="1">
        <f>(0+405+374)/3</f>
        <v>259.66666666666669</v>
      </c>
    </row>
    <row r="13" spans="1:6" x14ac:dyDescent="0.25">
      <c r="A13" s="7" t="s">
        <v>11</v>
      </c>
      <c r="B13" s="1">
        <v>400</v>
      </c>
      <c r="C13" s="1">
        <f>400*11/12</f>
        <v>366.66666666666669</v>
      </c>
      <c r="D13" s="1"/>
      <c r="E13" s="1"/>
      <c r="F13" s="1"/>
    </row>
    <row r="14" spans="1:6" x14ac:dyDescent="0.25">
      <c r="B14" s="1"/>
      <c r="C14" s="1"/>
      <c r="D14" s="1"/>
      <c r="E14" s="1"/>
      <c r="F14" s="1"/>
    </row>
    <row r="15" spans="1:6" x14ac:dyDescent="0.25">
      <c r="A15" s="8" t="s">
        <v>12</v>
      </c>
      <c r="B15" s="1"/>
      <c r="C15" s="1"/>
      <c r="D15" s="1"/>
      <c r="E15" s="1"/>
      <c r="F15" s="1"/>
    </row>
    <row r="16" spans="1:6" x14ac:dyDescent="0.25">
      <c r="A16" s="7" t="s">
        <v>48</v>
      </c>
      <c r="B16" s="1">
        <v>34384776.912500098</v>
      </c>
      <c r="C16" s="1">
        <v>11461592.304166701</v>
      </c>
      <c r="D16" s="1"/>
      <c r="E16" s="1"/>
      <c r="F16" s="1"/>
    </row>
    <row r="17" spans="1:8" x14ac:dyDescent="0.25">
      <c r="A17" s="7" t="s">
        <v>49</v>
      </c>
      <c r="B17" s="1">
        <f>SUM(D17:F17)</f>
        <v>142806068</v>
      </c>
      <c r="C17" s="1">
        <f>AVERAGE(D17:F17)</f>
        <v>47602022.666666664</v>
      </c>
      <c r="D17" s="1">
        <v>28000000</v>
      </c>
      <c r="E17" s="1">
        <v>32000000</v>
      </c>
      <c r="F17" s="1">
        <v>82806068</v>
      </c>
    </row>
    <row r="18" spans="1:8" x14ac:dyDescent="0.25">
      <c r="A18" s="7" t="s">
        <v>50</v>
      </c>
      <c r="B18" s="1">
        <f>SUM(D18:F18)</f>
        <v>125158995.56</v>
      </c>
      <c r="C18" s="1">
        <f t="shared" ref="C18:C19" si="0">AVERAGE(D18:F18)</f>
        <v>41719665.186666667</v>
      </c>
      <c r="D18" s="1">
        <v>9999476.5399999991</v>
      </c>
      <c r="E18" s="2">
        <v>112480105.02</v>
      </c>
      <c r="F18" s="1">
        <v>2679414</v>
      </c>
    </row>
    <row r="19" spans="1:8" x14ac:dyDescent="0.25">
      <c r="A19" s="7" t="s">
        <v>11</v>
      </c>
      <c r="B19" s="1">
        <f>SUM(D19:F19)</f>
        <v>500806068</v>
      </c>
      <c r="C19" s="1">
        <f t="shared" si="0"/>
        <v>166935356</v>
      </c>
      <c r="D19" s="1">
        <v>109000000</v>
      </c>
      <c r="E19" s="1">
        <v>96000000</v>
      </c>
      <c r="F19" s="1">
        <v>295806068</v>
      </c>
    </row>
    <row r="20" spans="1:8" x14ac:dyDescent="0.25">
      <c r="A20" s="7" t="s">
        <v>51</v>
      </c>
      <c r="B20" s="1"/>
      <c r="C20" s="1"/>
      <c r="D20" s="1"/>
      <c r="E20" s="1"/>
      <c r="F20" s="1"/>
    </row>
    <row r="21" spans="1:8" x14ac:dyDescent="0.25">
      <c r="B21" s="1"/>
      <c r="C21" s="1"/>
      <c r="D21" s="1"/>
      <c r="E21" s="1"/>
      <c r="F21" s="1"/>
    </row>
    <row r="22" spans="1:8" x14ac:dyDescent="0.25">
      <c r="A22" s="7" t="s">
        <v>14</v>
      </c>
      <c r="B22" s="1"/>
      <c r="C22" s="1"/>
      <c r="D22" s="1"/>
      <c r="E22" s="1"/>
      <c r="F22" s="1"/>
    </row>
    <row r="23" spans="1:8" x14ac:dyDescent="0.25">
      <c r="A23" s="7" t="s">
        <v>49</v>
      </c>
      <c r="B23" s="1">
        <f>B17</f>
        <v>142806068</v>
      </c>
      <c r="C23" s="1"/>
      <c r="D23" s="1"/>
      <c r="E23" s="1"/>
      <c r="F23" s="1"/>
      <c r="H23" s="9"/>
    </row>
    <row r="24" spans="1:8" x14ac:dyDescent="0.25">
      <c r="A24" s="7" t="s">
        <v>50</v>
      </c>
      <c r="B24" s="1">
        <v>32666193</v>
      </c>
      <c r="C24" s="1"/>
      <c r="D24" s="1"/>
      <c r="E24" s="1"/>
      <c r="F24" s="1"/>
      <c r="H24" s="9"/>
    </row>
    <row r="25" spans="1:8" x14ac:dyDescent="0.25">
      <c r="B25" s="1"/>
      <c r="C25" s="1"/>
      <c r="D25" s="1"/>
      <c r="E25" s="1"/>
      <c r="F25" s="1"/>
    </row>
    <row r="26" spans="1:8" x14ac:dyDescent="0.25">
      <c r="A26" s="3" t="s">
        <v>15</v>
      </c>
      <c r="B26" s="1"/>
      <c r="C26" s="1"/>
      <c r="D26" s="1"/>
      <c r="E26" s="1"/>
      <c r="F26" s="1"/>
    </row>
    <row r="27" spans="1:8" x14ac:dyDescent="0.25">
      <c r="A27" s="3" t="s">
        <v>52</v>
      </c>
      <c r="B27" s="21">
        <v>1.3815129375000001</v>
      </c>
      <c r="C27" s="21">
        <v>1.3815129375000001</v>
      </c>
      <c r="D27" s="21">
        <v>1.3815129375000001</v>
      </c>
      <c r="E27" s="21">
        <v>1.3815129375000001</v>
      </c>
      <c r="F27" s="21">
        <v>1.3815129375000001</v>
      </c>
    </row>
    <row r="28" spans="1:8" x14ac:dyDescent="0.25">
      <c r="A28" s="3" t="s">
        <v>53</v>
      </c>
      <c r="B28" s="21">
        <v>1.4459435845999999</v>
      </c>
      <c r="C28" s="21">
        <v>1.4459435845999999</v>
      </c>
      <c r="D28" s="21">
        <v>1.4459435845999999</v>
      </c>
      <c r="E28" s="21">
        <v>1.4459435845999999</v>
      </c>
      <c r="F28" s="21">
        <v>1.4459435845999999</v>
      </c>
    </row>
    <row r="29" spans="1:8" x14ac:dyDescent="0.25">
      <c r="A29" s="3" t="s">
        <v>18</v>
      </c>
      <c r="B29" s="1"/>
      <c r="C29" s="1"/>
      <c r="D29" s="1"/>
      <c r="E29" s="1"/>
      <c r="F29" s="1"/>
    </row>
    <row r="30" spans="1:8" x14ac:dyDescent="0.25">
      <c r="B30" s="1"/>
      <c r="C30" s="1"/>
      <c r="D30" s="1"/>
      <c r="E30" s="1"/>
      <c r="F30" s="1"/>
    </row>
    <row r="31" spans="1:8" x14ac:dyDescent="0.25">
      <c r="A31" s="3" t="s">
        <v>19</v>
      </c>
      <c r="B31" s="1"/>
      <c r="C31" s="1"/>
      <c r="D31" s="1"/>
      <c r="E31" s="1"/>
      <c r="F31" s="1"/>
    </row>
    <row r="32" spans="1:8" x14ac:dyDescent="0.25">
      <c r="A32" s="3" t="s">
        <v>54</v>
      </c>
      <c r="B32" s="1">
        <f>B16/B27</f>
        <v>24889218.174621761</v>
      </c>
      <c r="C32" s="1">
        <f>C16/C27</f>
        <v>8296406.0582072539</v>
      </c>
      <c r="D32" s="1"/>
      <c r="E32" s="1"/>
      <c r="F32" s="1"/>
      <c r="G32" s="1"/>
    </row>
    <row r="33" spans="1:6" x14ac:dyDescent="0.25">
      <c r="A33" s="3" t="s">
        <v>55</v>
      </c>
      <c r="B33" s="1">
        <f>B18/B28</f>
        <v>86558699.034321934</v>
      </c>
      <c r="C33" s="1">
        <f>C18/C28</f>
        <v>28852899.67810731</v>
      </c>
      <c r="D33" s="1">
        <f>D18/D28</f>
        <v>6915537.1250298219</v>
      </c>
      <c r="E33" s="1">
        <f>E18/E28</f>
        <v>77790106.210206017</v>
      </c>
      <c r="F33" s="1">
        <f t="shared" ref="F33" si="1">F18/F28</f>
        <v>1853055.6990860901</v>
      </c>
    </row>
    <row r="34" spans="1:6" x14ac:dyDescent="0.25">
      <c r="A34" s="3" t="s">
        <v>56</v>
      </c>
      <c r="B34" s="1">
        <f>B32/B10</f>
        <v>77778.806795693003</v>
      </c>
      <c r="C34" s="1">
        <f>C32/C10</f>
        <v>25926.26893189767</v>
      </c>
      <c r="D34" s="1"/>
      <c r="E34" s="1"/>
      <c r="F34" s="1"/>
    </row>
    <row r="35" spans="1:6" x14ac:dyDescent="0.25">
      <c r="A35" s="3" t="s">
        <v>57</v>
      </c>
      <c r="B35" s="1">
        <f>B33/B12</f>
        <v>213725.18280079489</v>
      </c>
      <c r="C35" s="1">
        <f>C33/C12</f>
        <v>111115.14638552237</v>
      </c>
    </row>
    <row r="36" spans="1:6" x14ac:dyDescent="0.25">
      <c r="B36" s="1"/>
      <c r="C36" s="1"/>
      <c r="D36" s="1"/>
      <c r="E36" s="1"/>
      <c r="F36" s="1"/>
    </row>
    <row r="37" spans="1:6" x14ac:dyDescent="0.25">
      <c r="A37" s="6" t="s">
        <v>24</v>
      </c>
      <c r="B37" s="1"/>
      <c r="C37" s="1"/>
      <c r="D37" s="1"/>
      <c r="E37" s="1"/>
      <c r="F37" s="1"/>
    </row>
    <row r="38" spans="1:6" x14ac:dyDescent="0.25">
      <c r="B38" s="1"/>
      <c r="C38" s="1"/>
      <c r="D38" s="1"/>
      <c r="E38" s="1"/>
      <c r="F38" s="1"/>
    </row>
    <row r="39" spans="1:6" x14ac:dyDescent="0.25">
      <c r="A39" s="3" t="s">
        <v>25</v>
      </c>
      <c r="B39" s="1"/>
      <c r="C39" s="1"/>
      <c r="D39" s="1"/>
      <c r="E39" s="1"/>
      <c r="F39" s="1"/>
    </row>
    <row r="40" spans="1:6" x14ac:dyDescent="0.25">
      <c r="A40" s="3" t="s">
        <v>26</v>
      </c>
      <c r="B40" s="1" t="s">
        <v>130</v>
      </c>
      <c r="C40" s="1" t="s">
        <v>130</v>
      </c>
      <c r="D40" s="1"/>
      <c r="E40" s="1"/>
      <c r="F40" s="1"/>
    </row>
    <row r="41" spans="1:6" x14ac:dyDescent="0.25">
      <c r="A41" s="3" t="s">
        <v>27</v>
      </c>
      <c r="B41" s="1" t="s">
        <v>130</v>
      </c>
      <c r="C41" s="1" t="s">
        <v>130</v>
      </c>
      <c r="D41" s="1"/>
      <c r="E41" s="1"/>
      <c r="F41" s="1"/>
    </row>
    <row r="42" spans="1:6" x14ac:dyDescent="0.25">
      <c r="B42" s="1"/>
      <c r="C42" s="1"/>
      <c r="D42" s="1"/>
      <c r="E42" s="1"/>
      <c r="F42" s="1"/>
    </row>
    <row r="43" spans="1:6" x14ac:dyDescent="0.25">
      <c r="A43" s="3" t="s">
        <v>28</v>
      </c>
      <c r="B43" s="1"/>
      <c r="C43" s="1"/>
      <c r="D43" s="1"/>
      <c r="E43" s="1"/>
      <c r="F43" s="1"/>
    </row>
    <row r="44" spans="1:6" x14ac:dyDescent="0.25">
      <c r="A44" s="3" t="s">
        <v>29</v>
      </c>
      <c r="B44" s="21">
        <f>B12/B11*100</f>
        <v>101.25</v>
      </c>
      <c r="C44" s="21">
        <f>C12/C11*100</f>
        <v>97.375</v>
      </c>
      <c r="D44" s="21"/>
      <c r="E44" s="21"/>
      <c r="F44" s="21"/>
    </row>
    <row r="45" spans="1:6" x14ac:dyDescent="0.25">
      <c r="A45" s="3" t="s">
        <v>30</v>
      </c>
      <c r="B45" s="21">
        <f>B18/B17*100</f>
        <v>87.642631236090054</v>
      </c>
      <c r="C45" s="21">
        <f>C18/C17*100</f>
        <v>87.642631236090068</v>
      </c>
      <c r="D45" s="21">
        <f>D18/D17*100</f>
        <v>35.71241621428571</v>
      </c>
      <c r="E45" s="21">
        <f t="shared" ref="E45" si="2">E18/E17*100</f>
        <v>351.50032818749997</v>
      </c>
      <c r="F45" s="21">
        <f>F18/F17*100</f>
        <v>3.23577011288593</v>
      </c>
    </row>
    <row r="46" spans="1:6" x14ac:dyDescent="0.25">
      <c r="A46" s="3" t="s">
        <v>31</v>
      </c>
      <c r="B46" s="21">
        <f>AVERAGE(B44:B45)</f>
        <v>94.44631561804502</v>
      </c>
      <c r="C46" s="21">
        <f>AVERAGE(C44:C45)</f>
        <v>92.508815618045034</v>
      </c>
      <c r="D46" s="21"/>
      <c r="E46" s="21"/>
      <c r="F46" s="21"/>
    </row>
    <row r="47" spans="1:6" x14ac:dyDescent="0.25">
      <c r="B47" s="21"/>
      <c r="C47" s="21"/>
      <c r="D47" s="21"/>
      <c r="E47" s="21"/>
      <c r="F47" s="21"/>
    </row>
    <row r="48" spans="1:6" x14ac:dyDescent="0.25">
      <c r="A48" s="3" t="s">
        <v>32</v>
      </c>
      <c r="B48" s="21"/>
      <c r="C48" s="21"/>
      <c r="D48" s="21"/>
      <c r="E48" s="21"/>
      <c r="F48" s="21"/>
    </row>
    <row r="49" spans="1:6" x14ac:dyDescent="0.25">
      <c r="A49" s="3" t="s">
        <v>33</v>
      </c>
      <c r="B49" s="21">
        <f>B12/B13*100</f>
        <v>101.25</v>
      </c>
      <c r="C49" s="21">
        <f>C12/C13*100</f>
        <v>70.818181818181827</v>
      </c>
      <c r="D49" s="21"/>
      <c r="E49" s="21"/>
      <c r="F49" s="21"/>
    </row>
    <row r="50" spans="1:6" x14ac:dyDescent="0.25">
      <c r="A50" s="3" t="s">
        <v>34</v>
      </c>
      <c r="B50" s="21">
        <f>B18/B19*100</f>
        <v>24.991509400001917</v>
      </c>
      <c r="C50" s="21">
        <f>C18/C19*100</f>
        <v>24.991509400001917</v>
      </c>
      <c r="D50" s="21">
        <f>D18/D19*100</f>
        <v>9.1738316880733937</v>
      </c>
      <c r="E50" s="21">
        <f t="shared" ref="E50:F50" si="3">E18/E19*100</f>
        <v>117.16677606249999</v>
      </c>
      <c r="F50" s="21">
        <f t="shared" si="3"/>
        <v>0.90580089114331486</v>
      </c>
    </row>
    <row r="51" spans="1:6" x14ac:dyDescent="0.25">
      <c r="A51" s="3" t="s">
        <v>35</v>
      </c>
      <c r="B51" s="21">
        <f>(B49+B50)/2</f>
        <v>63.120754700000958</v>
      </c>
      <c r="C51" s="21">
        <f>(C49+C50)/2</f>
        <v>47.904845609091872</v>
      </c>
      <c r="D51" s="21"/>
      <c r="E51" s="21"/>
      <c r="F51" s="21"/>
    </row>
    <row r="52" spans="1:6" x14ac:dyDescent="0.25">
      <c r="B52" s="21"/>
      <c r="C52" s="21"/>
      <c r="D52" s="21"/>
      <c r="E52" s="21"/>
      <c r="F52" s="21"/>
    </row>
    <row r="53" spans="1:6" x14ac:dyDescent="0.25">
      <c r="A53" s="3" t="s">
        <v>109</v>
      </c>
      <c r="B53" s="21"/>
      <c r="C53" s="21"/>
      <c r="D53" s="21"/>
      <c r="E53" s="21"/>
      <c r="F53" s="21"/>
    </row>
    <row r="54" spans="1:6" x14ac:dyDescent="0.25">
      <c r="A54" s="3" t="s">
        <v>36</v>
      </c>
      <c r="B54" s="21">
        <f>B20/B18*100</f>
        <v>0</v>
      </c>
      <c r="C54" s="21">
        <f>C20/C18*100</f>
        <v>0</v>
      </c>
      <c r="D54" s="21">
        <f t="shared" ref="D54:F54" si="4">D20/D18*100</f>
        <v>0</v>
      </c>
      <c r="E54" s="21">
        <f t="shared" si="4"/>
        <v>0</v>
      </c>
      <c r="F54" s="21">
        <f t="shared" si="4"/>
        <v>0</v>
      </c>
    </row>
    <row r="55" spans="1:6" x14ac:dyDescent="0.25">
      <c r="B55" s="21"/>
      <c r="C55" s="21"/>
      <c r="D55" s="21"/>
      <c r="E55" s="21"/>
      <c r="F55" s="21"/>
    </row>
    <row r="56" spans="1:6" x14ac:dyDescent="0.25">
      <c r="A56" s="3" t="s">
        <v>37</v>
      </c>
      <c r="B56" s="21"/>
      <c r="C56" s="21"/>
      <c r="D56" s="21"/>
      <c r="E56" s="21"/>
      <c r="F56" s="21"/>
    </row>
    <row r="57" spans="1:6" x14ac:dyDescent="0.25">
      <c r="A57" s="3" t="s">
        <v>38</v>
      </c>
      <c r="B57" s="21">
        <f>((B12/B10)-1)*100</f>
        <v>26.5625</v>
      </c>
      <c r="C57" s="21">
        <f>((C12/C10)-1)*100</f>
        <v>-18.854166666666661</v>
      </c>
      <c r="D57" s="21"/>
      <c r="E57" s="21"/>
      <c r="F57" s="21"/>
    </row>
    <row r="58" spans="1:6" x14ac:dyDescent="0.25">
      <c r="A58" s="3" t="s">
        <v>39</v>
      </c>
      <c r="B58" s="21">
        <f>((B33/B32)-1)*100</f>
        <v>247.77588603639359</v>
      </c>
      <c r="C58" s="21">
        <f>((C33/C32)-1)*100</f>
        <v>247.77588603639353</v>
      </c>
      <c r="D58" s="21"/>
      <c r="E58" s="21"/>
      <c r="F58" s="21"/>
    </row>
    <row r="59" spans="1:6" x14ac:dyDescent="0.25">
      <c r="A59" s="3" t="s">
        <v>40</v>
      </c>
      <c r="B59" s="21">
        <f>((B35/B34)-1)*100</f>
        <v>174.78588526332334</v>
      </c>
      <c r="C59" s="21">
        <f>((C35/C34)-1)*100</f>
        <v>328.58132297167879</v>
      </c>
      <c r="D59" s="21"/>
      <c r="E59" s="21"/>
      <c r="F59" s="21"/>
    </row>
    <row r="60" spans="1:6" x14ac:dyDescent="0.25">
      <c r="B60" s="1"/>
      <c r="C60" s="1"/>
      <c r="D60" s="1"/>
      <c r="E60" s="1"/>
      <c r="F60" s="1"/>
    </row>
    <row r="61" spans="1:6" x14ac:dyDescent="0.25">
      <c r="A61" s="3" t="s">
        <v>41</v>
      </c>
      <c r="B61" s="1"/>
      <c r="C61" s="1"/>
      <c r="D61" s="1"/>
      <c r="E61" s="1"/>
      <c r="F61" s="1"/>
    </row>
    <row r="62" spans="1:6" x14ac:dyDescent="0.25">
      <c r="A62" s="3" t="s">
        <v>111</v>
      </c>
      <c r="B62" s="1">
        <f>B17/(C11*3)</f>
        <v>178507.58499999999</v>
      </c>
      <c r="C62" s="1"/>
      <c r="D62" s="1"/>
      <c r="E62" s="1"/>
      <c r="F62" s="1"/>
    </row>
    <row r="63" spans="1:6" x14ac:dyDescent="0.25">
      <c r="A63" s="3" t="s">
        <v>112</v>
      </c>
      <c r="B63" s="1">
        <f>B18/(C12*3)</f>
        <v>160666.23306803594</v>
      </c>
      <c r="C63" s="1"/>
      <c r="D63" s="3">
        <f>D18/(C12*3)</f>
        <v>12836.298510911423</v>
      </c>
    </row>
    <row r="64" spans="1:6" x14ac:dyDescent="0.25">
      <c r="A64" s="1" t="s">
        <v>42</v>
      </c>
      <c r="B64" s="21">
        <f>(B62/B63)*B46</f>
        <v>104.93420671651459</v>
      </c>
      <c r="C64" s="1"/>
      <c r="D64" s="1"/>
      <c r="E64" s="1"/>
      <c r="F64" s="1"/>
    </row>
    <row r="65" spans="1:8" x14ac:dyDescent="0.25">
      <c r="A65" s="1" t="s">
        <v>113</v>
      </c>
      <c r="B65" s="1">
        <f>B17/C11</f>
        <v>535522.755</v>
      </c>
      <c r="C65" s="1"/>
      <c r="D65" s="1"/>
      <c r="E65" s="1"/>
      <c r="F65" s="1"/>
    </row>
    <row r="66" spans="1:8" x14ac:dyDescent="0.25">
      <c r="A66" s="1" t="s">
        <v>114</v>
      </c>
      <c r="B66" s="1">
        <f>B18/C12</f>
        <v>481998.6992041078</v>
      </c>
      <c r="C66" s="1"/>
      <c r="D66" s="1">
        <f>D18/C12</f>
        <v>38508.89553273427</v>
      </c>
      <c r="E66" s="1"/>
      <c r="F66" s="1"/>
    </row>
    <row r="67" spans="1:8" x14ac:dyDescent="0.25">
      <c r="B67" s="1"/>
      <c r="C67" s="1"/>
      <c r="D67" s="1"/>
      <c r="E67" s="1"/>
      <c r="F67" s="1"/>
    </row>
    <row r="68" spans="1:8" x14ac:dyDescent="0.25">
      <c r="A68" s="3" t="s">
        <v>43</v>
      </c>
      <c r="B68" s="1"/>
      <c r="C68" s="1"/>
      <c r="D68" s="1"/>
      <c r="E68" s="1"/>
      <c r="F68" s="1"/>
    </row>
    <row r="69" spans="1:8" x14ac:dyDescent="0.25">
      <c r="A69" s="3" t="s">
        <v>44</v>
      </c>
      <c r="B69" s="21">
        <f>(B24/B23)*100</f>
        <v>22.874513287488597</v>
      </c>
      <c r="C69" s="1"/>
      <c r="D69" s="1"/>
      <c r="E69" s="1"/>
      <c r="F69" s="1"/>
      <c r="H69" s="9"/>
    </row>
    <row r="70" spans="1:8" x14ac:dyDescent="0.25">
      <c r="A70" s="3" t="s">
        <v>45</v>
      </c>
      <c r="B70" s="21">
        <f>(B18/B24)*100</f>
        <v>383.14533793393065</v>
      </c>
      <c r="C70" s="1"/>
      <c r="D70" s="1"/>
      <c r="E70" s="1"/>
      <c r="F70" s="1"/>
      <c r="H70" s="9"/>
    </row>
    <row r="71" spans="1:8" ht="15.75" thickBot="1" x14ac:dyDescent="0.3">
      <c r="A71" s="10"/>
      <c r="B71" s="10"/>
      <c r="C71" s="10"/>
      <c r="D71" s="10"/>
      <c r="E71" s="10"/>
      <c r="F71" s="10"/>
    </row>
    <row r="72" spans="1:8" ht="15.75" thickTop="1" x14ac:dyDescent="0.25"/>
    <row r="73" spans="1:8" x14ac:dyDescent="0.25">
      <c r="A73" s="11" t="s">
        <v>46</v>
      </c>
    </row>
    <row r="74" spans="1:8" x14ac:dyDescent="0.25">
      <c r="A74" s="11" t="s">
        <v>110</v>
      </c>
    </row>
    <row r="75" spans="1:8" x14ac:dyDescent="0.25">
      <c r="A75" s="11" t="s">
        <v>47</v>
      </c>
    </row>
    <row r="76" spans="1:8" x14ac:dyDescent="0.25">
      <c r="A76" s="11" t="s">
        <v>119</v>
      </c>
    </row>
    <row r="77" spans="1:8" x14ac:dyDescent="0.25">
      <c r="A77" s="3" t="s">
        <v>120</v>
      </c>
    </row>
    <row r="78" spans="1:8" x14ac:dyDescent="0.25">
      <c r="A78" s="12" t="s">
        <v>121</v>
      </c>
    </row>
    <row r="79" spans="1:8" x14ac:dyDescent="0.25">
      <c r="A79" s="12" t="s">
        <v>122</v>
      </c>
    </row>
    <row r="80" spans="1:8" x14ac:dyDescent="0.25">
      <c r="A80" s="12" t="s">
        <v>123</v>
      </c>
    </row>
    <row r="145" spans="5:8" x14ac:dyDescent="0.25">
      <c r="E145" s="22"/>
      <c r="F145" s="22"/>
      <c r="G145" s="22"/>
      <c r="H145" s="22"/>
    </row>
    <row r="146" spans="5:8" x14ac:dyDescent="0.25">
      <c r="E146" s="22"/>
      <c r="F146" s="22"/>
      <c r="G146" s="22"/>
      <c r="H146" s="22"/>
    </row>
  </sheetData>
  <mergeCells count="5">
    <mergeCell ref="A2:F2"/>
    <mergeCell ref="A4:A5"/>
    <mergeCell ref="B4:B5"/>
    <mergeCell ref="C4:C5"/>
    <mergeCell ref="D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topLeftCell="A64" workbookViewId="0">
      <selection activeCell="D63" sqref="D63"/>
    </sheetView>
  </sheetViews>
  <sheetFormatPr baseColWidth="10" defaultRowHeight="15" x14ac:dyDescent="0.25"/>
  <cols>
    <col min="1" max="1" width="55.140625" style="3" customWidth="1"/>
    <col min="2" max="2" width="15.140625" style="3" bestFit="1" customWidth="1"/>
    <col min="3" max="3" width="13.85546875" style="3" customWidth="1"/>
    <col min="4" max="4" width="20.7109375" style="3" customWidth="1"/>
    <col min="5" max="5" width="13.7109375" style="3" customWidth="1"/>
    <col min="6" max="6" width="15.140625" style="3" bestFit="1" customWidth="1"/>
    <col min="7" max="7" width="13.7109375" style="3" bestFit="1" customWidth="1"/>
    <col min="8" max="16384" width="11.42578125" style="3"/>
  </cols>
  <sheetData>
    <row r="2" spans="1:6" ht="15.75" x14ac:dyDescent="0.25">
      <c r="A2" s="23" t="s">
        <v>125</v>
      </c>
      <c r="B2" s="23"/>
      <c r="C2" s="23"/>
      <c r="D2" s="23"/>
      <c r="E2" s="23"/>
      <c r="F2" s="23"/>
    </row>
    <row r="4" spans="1:6" ht="15" customHeight="1" x14ac:dyDescent="0.25">
      <c r="A4" s="24" t="s">
        <v>0</v>
      </c>
      <c r="B4" s="26" t="s">
        <v>1</v>
      </c>
      <c r="C4" s="26" t="s">
        <v>58</v>
      </c>
      <c r="D4" s="28" t="s">
        <v>2</v>
      </c>
      <c r="E4" s="28"/>
      <c r="F4" s="28"/>
    </row>
    <row r="5" spans="1:6" ht="15.75" thickBot="1" x14ac:dyDescent="0.3">
      <c r="A5" s="25"/>
      <c r="B5" s="27"/>
      <c r="C5" s="27"/>
      <c r="D5" s="4" t="s">
        <v>3</v>
      </c>
      <c r="E5" s="5" t="s">
        <v>4</v>
      </c>
      <c r="F5" s="5" t="s">
        <v>5</v>
      </c>
    </row>
    <row r="6" spans="1:6" ht="15.75" thickTop="1" x14ac:dyDescent="0.25"/>
    <row r="7" spans="1:6" x14ac:dyDescent="0.25">
      <c r="A7" s="6" t="s">
        <v>6</v>
      </c>
    </row>
    <row r="9" spans="1:6" x14ac:dyDescent="0.25">
      <c r="A9" s="3" t="s">
        <v>7</v>
      </c>
    </row>
    <row r="10" spans="1:6" x14ac:dyDescent="0.25">
      <c r="A10" s="7" t="s">
        <v>59</v>
      </c>
      <c r="B10" s="1">
        <v>320</v>
      </c>
      <c r="C10" s="1">
        <v>320</v>
      </c>
      <c r="D10" s="1"/>
      <c r="E10" s="1"/>
      <c r="F10" s="1"/>
    </row>
    <row r="11" spans="1:6" x14ac:dyDescent="0.25">
      <c r="A11" s="7" t="s">
        <v>60</v>
      </c>
      <c r="B11" s="1">
        <v>400</v>
      </c>
      <c r="C11" s="1">
        <f>(400+400+400)/3</f>
        <v>400</v>
      </c>
      <c r="D11" s="1"/>
      <c r="E11" s="1"/>
      <c r="F11" s="1"/>
    </row>
    <row r="12" spans="1:6" x14ac:dyDescent="0.25">
      <c r="A12" s="7" t="s">
        <v>61</v>
      </c>
      <c r="B12" s="1">
        <v>364</v>
      </c>
      <c r="C12" s="1">
        <f>(364+351+340)/3</f>
        <v>351.66666666666669</v>
      </c>
    </row>
    <row r="13" spans="1:6" x14ac:dyDescent="0.25">
      <c r="A13" s="7" t="s">
        <v>11</v>
      </c>
      <c r="B13" s="1">
        <v>400</v>
      </c>
      <c r="C13" s="1">
        <f>400*11/12</f>
        <v>366.66666666666669</v>
      </c>
      <c r="D13" s="1"/>
      <c r="E13" s="1"/>
      <c r="F13" s="1"/>
    </row>
    <row r="14" spans="1:6" x14ac:dyDescent="0.25">
      <c r="B14" s="1"/>
      <c r="C14" s="1"/>
      <c r="D14" s="1"/>
      <c r="E14" s="1"/>
      <c r="F14" s="1"/>
    </row>
    <row r="15" spans="1:6" x14ac:dyDescent="0.25">
      <c r="A15" s="8" t="s">
        <v>12</v>
      </c>
      <c r="B15" s="1"/>
      <c r="C15" s="1"/>
      <c r="D15" s="1"/>
      <c r="E15" s="1"/>
      <c r="F15" s="1"/>
    </row>
    <row r="16" spans="1:6" x14ac:dyDescent="0.25">
      <c r="A16" s="7" t="s">
        <v>59</v>
      </c>
      <c r="B16" s="1">
        <f>C16*3</f>
        <v>34384776.912500098</v>
      </c>
      <c r="C16" s="1">
        <v>11461592.304166701</v>
      </c>
      <c r="D16" s="1"/>
      <c r="E16" s="1"/>
      <c r="F16" s="1"/>
    </row>
    <row r="17" spans="1:8" x14ac:dyDescent="0.25">
      <c r="A17" s="7" t="s">
        <v>60</v>
      </c>
      <c r="B17" s="1">
        <f>SUM(D17:F17)</f>
        <v>254781760</v>
      </c>
      <c r="C17" s="1">
        <f>AVERAGE(D17:F17)</f>
        <v>84927253.333333328</v>
      </c>
      <c r="D17" s="1">
        <f>3*9000000</f>
        <v>27000000</v>
      </c>
      <c r="E17" s="1">
        <v>130531760</v>
      </c>
      <c r="F17" s="1">
        <v>97250000</v>
      </c>
    </row>
    <row r="18" spans="1:8" x14ac:dyDescent="0.25">
      <c r="A18" s="7" t="s">
        <v>61</v>
      </c>
      <c r="B18" s="1">
        <f>SUM(D18:F18)</f>
        <v>47090635.379999995</v>
      </c>
      <c r="C18" s="1">
        <f t="shared" ref="C18:C19" si="0">AVERAGE(D18:F18)</f>
        <v>15696878.459999999</v>
      </c>
      <c r="D18" s="1">
        <v>39975913.689999998</v>
      </c>
      <c r="E18" s="2">
        <v>2110429.25</v>
      </c>
      <c r="F18" s="1">
        <v>5004292.4400000004</v>
      </c>
    </row>
    <row r="19" spans="1:8" x14ac:dyDescent="0.25">
      <c r="A19" s="7" t="s">
        <v>11</v>
      </c>
      <c r="B19" s="1">
        <f>SUM(D19:F19)</f>
        <v>601337828</v>
      </c>
      <c r="C19" s="1">
        <f t="shared" si="0"/>
        <v>200445942.66666666</v>
      </c>
      <c r="D19" s="1">
        <v>109000000</v>
      </c>
      <c r="E19" s="1">
        <v>196531760</v>
      </c>
      <c r="F19" s="1">
        <v>295806068</v>
      </c>
    </row>
    <row r="20" spans="1:8" x14ac:dyDescent="0.25">
      <c r="A20" s="7" t="s">
        <v>62</v>
      </c>
      <c r="B20" s="1"/>
      <c r="C20" s="1"/>
      <c r="D20" s="1"/>
      <c r="E20" s="1"/>
      <c r="F20" s="1"/>
    </row>
    <row r="21" spans="1:8" x14ac:dyDescent="0.25">
      <c r="B21" s="1"/>
      <c r="C21" s="1"/>
      <c r="D21" s="1"/>
      <c r="E21" s="1"/>
      <c r="F21" s="1"/>
    </row>
    <row r="22" spans="1:8" x14ac:dyDescent="0.25">
      <c r="A22" s="7" t="s">
        <v>14</v>
      </c>
      <c r="B22" s="1"/>
      <c r="C22" s="1"/>
      <c r="D22" s="1"/>
      <c r="E22" s="1"/>
      <c r="F22" s="1"/>
    </row>
    <row r="23" spans="1:8" x14ac:dyDescent="0.25">
      <c r="A23" s="7" t="s">
        <v>60</v>
      </c>
      <c r="B23" s="1">
        <f>B17</f>
        <v>254781760</v>
      </c>
      <c r="C23" s="1"/>
      <c r="D23" s="1"/>
      <c r="E23" s="1"/>
      <c r="F23" s="1"/>
      <c r="H23" s="9"/>
    </row>
    <row r="24" spans="1:8" x14ac:dyDescent="0.25">
      <c r="A24" s="7" t="s">
        <v>61</v>
      </c>
      <c r="B24" s="1">
        <v>57139875</v>
      </c>
      <c r="C24" s="1"/>
      <c r="D24" s="1"/>
      <c r="E24" s="1"/>
      <c r="F24" s="1"/>
      <c r="H24" s="9"/>
    </row>
    <row r="25" spans="1:8" x14ac:dyDescent="0.25">
      <c r="B25" s="1"/>
      <c r="C25" s="1"/>
      <c r="D25" s="1"/>
      <c r="E25" s="1"/>
      <c r="F25" s="1"/>
    </row>
    <row r="26" spans="1:8" x14ac:dyDescent="0.25">
      <c r="A26" s="3" t="s">
        <v>15</v>
      </c>
      <c r="B26" s="1"/>
      <c r="C26" s="1"/>
      <c r="D26" s="1"/>
      <c r="E26" s="1"/>
      <c r="F26" s="1"/>
    </row>
    <row r="27" spans="1:8" x14ac:dyDescent="0.25">
      <c r="A27" s="3" t="s">
        <v>63</v>
      </c>
      <c r="B27" s="21">
        <v>1.3936338904333334</v>
      </c>
      <c r="C27" s="21">
        <v>1.3936338904333334</v>
      </c>
      <c r="D27" s="21">
        <v>1.3936338904333334</v>
      </c>
      <c r="E27" s="21">
        <v>1.3936338904333334</v>
      </c>
      <c r="F27" s="21">
        <v>1.3936338904333334</v>
      </c>
    </row>
    <row r="28" spans="1:8" x14ac:dyDescent="0.25">
      <c r="A28" s="3" t="s">
        <v>64</v>
      </c>
      <c r="B28" s="21">
        <v>1.4619442416999999</v>
      </c>
      <c r="C28" s="21">
        <v>1.4619442416999999</v>
      </c>
      <c r="D28" s="21">
        <v>1.4619442416999999</v>
      </c>
      <c r="E28" s="21">
        <v>1.4619442416999999</v>
      </c>
      <c r="F28" s="21">
        <v>1.4619442416999999</v>
      </c>
    </row>
    <row r="29" spans="1:8" x14ac:dyDescent="0.25">
      <c r="A29" s="3" t="s">
        <v>18</v>
      </c>
      <c r="B29" s="1"/>
      <c r="C29" s="1"/>
      <c r="D29" s="1"/>
      <c r="E29" s="1"/>
      <c r="F29" s="1"/>
    </row>
    <row r="30" spans="1:8" x14ac:dyDescent="0.25">
      <c r="B30" s="1"/>
      <c r="C30" s="1"/>
      <c r="D30" s="1"/>
      <c r="E30" s="1"/>
      <c r="F30" s="1"/>
    </row>
    <row r="31" spans="1:8" x14ac:dyDescent="0.25">
      <c r="A31" s="3" t="s">
        <v>19</v>
      </c>
      <c r="B31" s="1"/>
      <c r="C31" s="1"/>
      <c r="D31" s="1"/>
      <c r="E31" s="1"/>
      <c r="F31" s="1"/>
    </row>
    <row r="32" spans="1:8" x14ac:dyDescent="0.25">
      <c r="A32" s="3" t="s">
        <v>65</v>
      </c>
      <c r="B32" s="1">
        <f>B16/B27</f>
        <v>24672747.375430554</v>
      </c>
      <c r="C32" s="1">
        <f>C16/C27</f>
        <v>8224249.1251435187</v>
      </c>
      <c r="D32" s="1"/>
      <c r="E32" s="1"/>
      <c r="F32" s="1"/>
      <c r="G32" s="1"/>
    </row>
    <row r="33" spans="1:6" x14ac:dyDescent="0.25">
      <c r="A33" s="3" t="s">
        <v>66</v>
      </c>
      <c r="B33" s="1">
        <f>B18/B28</f>
        <v>32210965.395808361</v>
      </c>
      <c r="C33" s="1">
        <f>C18/C28</f>
        <v>10736988.465269456</v>
      </c>
      <c r="D33" s="1">
        <f>D18/D28</f>
        <v>27344349.086470362</v>
      </c>
      <c r="E33" s="1">
        <f>E18/E28</f>
        <v>1443577.1145046675</v>
      </c>
      <c r="F33" s="1">
        <f t="shared" ref="F33" si="1">F18/F28</f>
        <v>3423039.1948333364</v>
      </c>
    </row>
    <row r="34" spans="1:6" x14ac:dyDescent="0.25">
      <c r="A34" s="3" t="s">
        <v>67</v>
      </c>
      <c r="B34" s="1">
        <f>B32/B10</f>
        <v>77102.335548220479</v>
      </c>
      <c r="C34" s="1">
        <f>B32/C10</f>
        <v>77102.335548220479</v>
      </c>
      <c r="D34" s="1"/>
      <c r="E34" s="1"/>
      <c r="F34" s="1"/>
    </row>
    <row r="35" spans="1:6" x14ac:dyDescent="0.25">
      <c r="A35" s="3" t="s">
        <v>68</v>
      </c>
      <c r="B35" s="1">
        <f>B33/B12</f>
        <v>88491.663175297697</v>
      </c>
      <c r="C35" s="1">
        <f>B33/C12</f>
        <v>91595.162262962156</v>
      </c>
    </row>
    <row r="36" spans="1:6" x14ac:dyDescent="0.25">
      <c r="B36" s="1"/>
      <c r="C36" s="1"/>
      <c r="D36" s="1"/>
      <c r="E36" s="1"/>
      <c r="F36" s="1"/>
    </row>
    <row r="37" spans="1:6" x14ac:dyDescent="0.25">
      <c r="A37" s="6" t="s">
        <v>24</v>
      </c>
      <c r="B37" s="1"/>
      <c r="C37" s="1"/>
      <c r="D37" s="1"/>
      <c r="E37" s="1"/>
      <c r="F37" s="1"/>
    </row>
    <row r="38" spans="1:6" x14ac:dyDescent="0.25">
      <c r="B38" s="1"/>
      <c r="C38" s="1"/>
      <c r="D38" s="1"/>
      <c r="E38" s="1"/>
      <c r="F38" s="1"/>
    </row>
    <row r="39" spans="1:6" x14ac:dyDescent="0.25">
      <c r="A39" s="3" t="s">
        <v>25</v>
      </c>
      <c r="B39" s="1"/>
      <c r="C39" s="1"/>
      <c r="D39" s="1"/>
      <c r="E39" s="1"/>
      <c r="F39" s="1"/>
    </row>
    <row r="40" spans="1:6" x14ac:dyDescent="0.25">
      <c r="A40" s="3" t="s">
        <v>26</v>
      </c>
      <c r="B40" s="1" t="s">
        <v>130</v>
      </c>
      <c r="C40" s="1" t="s">
        <v>130</v>
      </c>
      <c r="D40" s="1"/>
      <c r="E40" s="1"/>
      <c r="F40" s="1"/>
    </row>
    <row r="41" spans="1:6" x14ac:dyDescent="0.25">
      <c r="A41" s="3" t="s">
        <v>27</v>
      </c>
      <c r="B41" s="1" t="s">
        <v>130</v>
      </c>
      <c r="C41" s="1" t="s">
        <v>130</v>
      </c>
      <c r="D41" s="1"/>
      <c r="E41" s="1"/>
      <c r="F41" s="1"/>
    </row>
    <row r="42" spans="1:6" x14ac:dyDescent="0.25">
      <c r="B42" s="1"/>
      <c r="C42" s="1"/>
      <c r="D42" s="1"/>
      <c r="E42" s="1"/>
      <c r="F42" s="1"/>
    </row>
    <row r="43" spans="1:6" x14ac:dyDescent="0.25">
      <c r="A43" s="3" t="s">
        <v>28</v>
      </c>
      <c r="B43" s="1"/>
      <c r="C43" s="1"/>
      <c r="D43" s="1"/>
      <c r="E43" s="1"/>
      <c r="F43" s="1"/>
    </row>
    <row r="44" spans="1:6" x14ac:dyDescent="0.25">
      <c r="A44" s="1" t="s">
        <v>29</v>
      </c>
      <c r="B44" s="21">
        <f>B12/B11*100</f>
        <v>91</v>
      </c>
      <c r="C44" s="21">
        <f>C12/C11*100</f>
        <v>87.916666666666671</v>
      </c>
      <c r="D44" s="21"/>
      <c r="E44" s="21"/>
      <c r="F44" s="21"/>
    </row>
    <row r="45" spans="1:6" x14ac:dyDescent="0.25">
      <c r="A45" s="1" t="s">
        <v>30</v>
      </c>
      <c r="B45" s="21">
        <f>B18/B17*100</f>
        <v>18.482734156479648</v>
      </c>
      <c r="C45" s="21">
        <f>C18/C17*100</f>
        <v>18.482734156479648</v>
      </c>
      <c r="D45" s="21">
        <f>D18/D17*100</f>
        <v>148.05893959259257</v>
      </c>
      <c r="E45" s="21">
        <f t="shared" ref="E45" si="2">E18/E17*100</f>
        <v>1.6167936830086411</v>
      </c>
      <c r="F45" s="21">
        <f>F18/F17*100</f>
        <v>5.145801994858612</v>
      </c>
    </row>
    <row r="46" spans="1:6" x14ac:dyDescent="0.25">
      <c r="A46" s="1" t="s">
        <v>31</v>
      </c>
      <c r="B46" s="21">
        <f>AVERAGE(B44:B45)</f>
        <v>54.741367078239826</v>
      </c>
      <c r="C46" s="21">
        <f>AVERAGE(C44:C45)</f>
        <v>53.199700411573161</v>
      </c>
      <c r="D46" s="21"/>
      <c r="E46" s="21"/>
      <c r="F46" s="21"/>
    </row>
    <row r="47" spans="1:6" x14ac:dyDescent="0.25">
      <c r="A47" s="1"/>
      <c r="B47" s="21"/>
      <c r="C47" s="21"/>
      <c r="D47" s="21"/>
      <c r="E47" s="21"/>
      <c r="F47" s="21"/>
    </row>
    <row r="48" spans="1:6" x14ac:dyDescent="0.25">
      <c r="A48" s="1" t="s">
        <v>32</v>
      </c>
      <c r="B48" s="21"/>
      <c r="C48" s="21"/>
      <c r="D48" s="21"/>
      <c r="E48" s="21"/>
      <c r="F48" s="21"/>
    </row>
    <row r="49" spans="1:6" x14ac:dyDescent="0.25">
      <c r="A49" s="1" t="s">
        <v>33</v>
      </c>
      <c r="B49" s="21">
        <f>B12/B13*100</f>
        <v>91</v>
      </c>
      <c r="C49" s="21">
        <f>C12/C13*100</f>
        <v>95.909090909090907</v>
      </c>
      <c r="D49" s="21"/>
      <c r="E49" s="21"/>
      <c r="F49" s="21"/>
    </row>
    <row r="50" spans="1:6" x14ac:dyDescent="0.25">
      <c r="A50" s="1" t="s">
        <v>34</v>
      </c>
      <c r="B50" s="21">
        <f>B18/B19*100</f>
        <v>7.8309783930639396</v>
      </c>
      <c r="C50" s="21">
        <f>C18/C19*100</f>
        <v>7.8309783930639405</v>
      </c>
      <c r="D50" s="21">
        <f>D18/D19*100</f>
        <v>36.675150174311923</v>
      </c>
      <c r="E50" s="21">
        <f t="shared" ref="E50:F50" si="3">E18/E19*100</f>
        <v>1.0738362338992944</v>
      </c>
      <c r="F50" s="21">
        <f t="shared" si="3"/>
        <v>1.6917477297997825</v>
      </c>
    </row>
    <row r="51" spans="1:6" x14ac:dyDescent="0.25">
      <c r="A51" s="1" t="s">
        <v>35</v>
      </c>
      <c r="B51" s="21">
        <f>(B49+B50)/2</f>
        <v>49.415489196531972</v>
      </c>
      <c r="C51" s="21">
        <f>(C49+C50)/2</f>
        <v>51.870034651077425</v>
      </c>
      <c r="D51" s="21"/>
      <c r="E51" s="21"/>
      <c r="F51" s="21"/>
    </row>
    <row r="52" spans="1:6" x14ac:dyDescent="0.25">
      <c r="A52" s="1"/>
      <c r="B52" s="21"/>
      <c r="C52" s="21"/>
      <c r="D52" s="21"/>
      <c r="E52" s="21"/>
      <c r="F52" s="21"/>
    </row>
    <row r="53" spans="1:6" x14ac:dyDescent="0.25">
      <c r="A53" s="1" t="s">
        <v>109</v>
      </c>
      <c r="B53" s="21"/>
      <c r="C53" s="21"/>
      <c r="D53" s="21"/>
      <c r="E53" s="21"/>
      <c r="F53" s="21"/>
    </row>
    <row r="54" spans="1:6" x14ac:dyDescent="0.25">
      <c r="A54" s="1" t="s">
        <v>36</v>
      </c>
      <c r="B54" s="21">
        <f>B20/B18*100</f>
        <v>0</v>
      </c>
      <c r="C54" s="21">
        <f>C20/C18*100</f>
        <v>0</v>
      </c>
      <c r="D54" s="21">
        <f t="shared" ref="D54:F54" si="4">D20/D18*100</f>
        <v>0</v>
      </c>
      <c r="E54" s="21">
        <f t="shared" si="4"/>
        <v>0</v>
      </c>
      <c r="F54" s="21">
        <f t="shared" si="4"/>
        <v>0</v>
      </c>
    </row>
    <row r="55" spans="1:6" x14ac:dyDescent="0.25">
      <c r="A55" s="1"/>
      <c r="B55" s="21"/>
      <c r="C55" s="21"/>
      <c r="D55" s="21"/>
      <c r="E55" s="21"/>
      <c r="F55" s="21"/>
    </row>
    <row r="56" spans="1:6" x14ac:dyDescent="0.25">
      <c r="A56" s="1" t="s">
        <v>37</v>
      </c>
      <c r="B56" s="21"/>
      <c r="C56" s="21"/>
      <c r="D56" s="21"/>
      <c r="E56" s="21"/>
      <c r="F56" s="21"/>
    </row>
    <row r="57" spans="1:6" x14ac:dyDescent="0.25">
      <c r="A57" s="1" t="s">
        <v>38</v>
      </c>
      <c r="B57" s="21">
        <f>((B12/B10)-1)*100</f>
        <v>13.749999999999996</v>
      </c>
      <c r="C57" s="21">
        <f>((C12/C10)-1)*100</f>
        <v>9.8958333333333481</v>
      </c>
      <c r="D57" s="21"/>
      <c r="E57" s="21"/>
      <c r="F57" s="21"/>
    </row>
    <row r="58" spans="1:6" x14ac:dyDescent="0.25">
      <c r="A58" s="1" t="s">
        <v>39</v>
      </c>
      <c r="B58" s="21">
        <f>((B33/B32)-1)*100</f>
        <v>30.55281159277974</v>
      </c>
      <c r="C58" s="21">
        <f>((C33/C32)-1)*100</f>
        <v>30.552811592779761</v>
      </c>
      <c r="D58" s="21"/>
      <c r="E58" s="21"/>
      <c r="F58" s="21"/>
    </row>
    <row r="59" spans="1:6" x14ac:dyDescent="0.25">
      <c r="A59" s="1" t="s">
        <v>40</v>
      </c>
      <c r="B59" s="21">
        <f>((B35/B34)-1)*100</f>
        <v>14.771702499147032</v>
      </c>
      <c r="C59" s="21">
        <f>((C35/C34)-1)*100</f>
        <v>18.796871212387245</v>
      </c>
      <c r="D59" s="21"/>
      <c r="E59" s="21"/>
      <c r="F59" s="2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 t="s">
        <v>41</v>
      </c>
      <c r="B61" s="1"/>
      <c r="C61" s="1"/>
      <c r="D61" s="1"/>
      <c r="E61" s="1"/>
      <c r="F61" s="1"/>
    </row>
    <row r="62" spans="1:6" x14ac:dyDescent="0.25">
      <c r="A62" s="1" t="s">
        <v>111</v>
      </c>
      <c r="B62" s="1">
        <f>B17/(C11*3)</f>
        <v>212318.13333333333</v>
      </c>
      <c r="C62" s="1"/>
      <c r="D62" s="1"/>
      <c r="E62" s="1"/>
      <c r="F62" s="1"/>
    </row>
    <row r="63" spans="1:6" x14ac:dyDescent="0.25">
      <c r="A63" s="1" t="s">
        <v>112</v>
      </c>
      <c r="B63" s="1">
        <f>B18/(C12*3)</f>
        <v>44635.673345971562</v>
      </c>
      <c r="C63" s="1"/>
      <c r="D63" s="3">
        <f>D18/(C12*3)</f>
        <v>37891.861317535542</v>
      </c>
    </row>
    <row r="64" spans="1:6" x14ac:dyDescent="0.25">
      <c r="A64" s="1" t="s">
        <v>42</v>
      </c>
      <c r="B64" s="21">
        <f>(B62/B63)*B46</f>
        <v>260.38780201835181</v>
      </c>
      <c r="C64" s="1"/>
      <c r="D64" s="1"/>
      <c r="E64" s="1"/>
      <c r="F64" s="1"/>
    </row>
    <row r="65" spans="1:8" x14ac:dyDescent="0.25">
      <c r="A65" s="1" t="s">
        <v>113</v>
      </c>
      <c r="B65" s="1">
        <f>B17/C11</f>
        <v>636954.4</v>
      </c>
      <c r="C65" s="1"/>
      <c r="D65" s="1"/>
      <c r="E65" s="1"/>
      <c r="F65" s="1"/>
    </row>
    <row r="66" spans="1:8" x14ac:dyDescent="0.25">
      <c r="A66" s="1" t="s">
        <v>114</v>
      </c>
      <c r="B66" s="1">
        <f>B18/C12</f>
        <v>133907.02003791468</v>
      </c>
      <c r="C66" s="1"/>
      <c r="D66" s="1">
        <f>D18/C12</f>
        <v>113675.58395260663</v>
      </c>
      <c r="E66" s="1"/>
      <c r="F66" s="1"/>
    </row>
    <row r="67" spans="1:8" x14ac:dyDescent="0.25">
      <c r="B67" s="1"/>
      <c r="C67" s="1"/>
      <c r="D67" s="1"/>
      <c r="E67" s="1"/>
      <c r="F67" s="1"/>
    </row>
    <row r="68" spans="1:8" x14ac:dyDescent="0.25">
      <c r="A68" s="3" t="s">
        <v>43</v>
      </c>
      <c r="B68" s="1"/>
      <c r="C68" s="1"/>
      <c r="D68" s="1"/>
      <c r="E68" s="1"/>
      <c r="F68" s="1"/>
      <c r="H68" s="9"/>
    </row>
    <row r="69" spans="1:8" x14ac:dyDescent="0.25">
      <c r="A69" s="3" t="s">
        <v>44</v>
      </c>
      <c r="B69" s="21">
        <f>(B24/B23)*100</f>
        <v>22.426988101503028</v>
      </c>
      <c r="C69" s="1"/>
      <c r="D69" s="1"/>
      <c r="E69" s="1"/>
      <c r="F69" s="1"/>
      <c r="H69" s="9"/>
    </row>
    <row r="70" spans="1:8" x14ac:dyDescent="0.25">
      <c r="A70" s="3" t="s">
        <v>45</v>
      </c>
      <c r="B70" s="21">
        <f>(B18/B24)*100</f>
        <v>82.412912838888772</v>
      </c>
      <c r="C70" s="1"/>
      <c r="D70" s="1"/>
      <c r="E70" s="1"/>
      <c r="F70" s="1"/>
    </row>
    <row r="71" spans="1:8" ht="15.75" thickBot="1" x14ac:dyDescent="0.3">
      <c r="A71" s="10"/>
      <c r="B71" s="10"/>
      <c r="C71" s="10"/>
      <c r="D71" s="10"/>
      <c r="E71" s="10"/>
      <c r="F71" s="10"/>
    </row>
    <row r="72" spans="1:8" ht="15.75" thickTop="1" x14ac:dyDescent="0.25"/>
    <row r="73" spans="1:8" x14ac:dyDescent="0.25">
      <c r="A73" s="11" t="s">
        <v>46</v>
      </c>
    </row>
    <row r="74" spans="1:8" x14ac:dyDescent="0.25">
      <c r="A74" s="11" t="s">
        <v>110</v>
      </c>
    </row>
    <row r="75" spans="1:8" x14ac:dyDescent="0.25">
      <c r="A75" s="11" t="s">
        <v>47</v>
      </c>
    </row>
    <row r="76" spans="1:8" x14ac:dyDescent="0.25">
      <c r="A76" s="11" t="s">
        <v>119</v>
      </c>
    </row>
    <row r="77" spans="1:8" x14ac:dyDescent="0.25">
      <c r="A77" s="3" t="s">
        <v>120</v>
      </c>
    </row>
    <row r="78" spans="1:8" x14ac:dyDescent="0.25">
      <c r="A78" s="12" t="s">
        <v>121</v>
      </c>
    </row>
    <row r="79" spans="1:8" x14ac:dyDescent="0.25">
      <c r="A79" s="12" t="s">
        <v>122</v>
      </c>
    </row>
    <row r="80" spans="1:8" x14ac:dyDescent="0.25">
      <c r="A80" s="12" t="s">
        <v>123</v>
      </c>
    </row>
  </sheetData>
  <mergeCells count="5">
    <mergeCell ref="A2:F2"/>
    <mergeCell ref="A4:A5"/>
    <mergeCell ref="B4:B5"/>
    <mergeCell ref="C4:C5"/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topLeftCell="A64" workbookViewId="0">
      <selection activeCell="D63" sqref="D63"/>
    </sheetView>
  </sheetViews>
  <sheetFormatPr baseColWidth="10" defaultRowHeight="15" x14ac:dyDescent="0.25"/>
  <cols>
    <col min="1" max="1" width="55.140625" style="3" customWidth="1"/>
    <col min="2" max="2" width="15.140625" style="3" bestFit="1" customWidth="1"/>
    <col min="3" max="3" width="13.85546875" style="3" customWidth="1"/>
    <col min="4" max="4" width="20.7109375" style="3" customWidth="1"/>
    <col min="5" max="5" width="13.7109375" style="3" customWidth="1"/>
    <col min="6" max="6" width="15.140625" style="3" bestFit="1" customWidth="1"/>
    <col min="7" max="7" width="13.7109375" style="3" bestFit="1" customWidth="1"/>
    <col min="8" max="16384" width="11.42578125" style="3"/>
  </cols>
  <sheetData>
    <row r="2" spans="1:6" ht="15.75" x14ac:dyDescent="0.25">
      <c r="A2" s="23" t="s">
        <v>126</v>
      </c>
      <c r="B2" s="23"/>
      <c r="C2" s="23"/>
      <c r="D2" s="23"/>
      <c r="E2" s="23"/>
      <c r="F2" s="23"/>
    </row>
    <row r="4" spans="1:6" ht="15" customHeight="1" x14ac:dyDescent="0.25">
      <c r="A4" s="24" t="s">
        <v>0</v>
      </c>
      <c r="B4" s="26" t="s">
        <v>1</v>
      </c>
      <c r="C4" s="26" t="s">
        <v>58</v>
      </c>
      <c r="D4" s="28" t="s">
        <v>2</v>
      </c>
      <c r="E4" s="28"/>
      <c r="F4" s="28"/>
    </row>
    <row r="5" spans="1:6" ht="15.75" thickBot="1" x14ac:dyDescent="0.3">
      <c r="A5" s="25"/>
      <c r="B5" s="27"/>
      <c r="C5" s="27"/>
      <c r="D5" s="4" t="s">
        <v>3</v>
      </c>
      <c r="E5" s="5" t="s">
        <v>4</v>
      </c>
      <c r="F5" s="5" t="s">
        <v>5</v>
      </c>
    </row>
    <row r="6" spans="1:6" ht="15.75" thickTop="1" x14ac:dyDescent="0.25"/>
    <row r="7" spans="1:6" x14ac:dyDescent="0.25">
      <c r="A7" s="6" t="s">
        <v>6</v>
      </c>
    </row>
    <row r="9" spans="1:6" x14ac:dyDescent="0.25">
      <c r="A9" s="3" t="s">
        <v>7</v>
      </c>
    </row>
    <row r="10" spans="1:6" x14ac:dyDescent="0.25">
      <c r="A10" s="7" t="s">
        <v>8</v>
      </c>
      <c r="B10" s="1">
        <v>320</v>
      </c>
      <c r="C10" s="1">
        <v>320</v>
      </c>
      <c r="D10" s="1"/>
      <c r="E10" s="1"/>
      <c r="F10" s="1"/>
    </row>
    <row r="11" spans="1:6" x14ac:dyDescent="0.25">
      <c r="A11" s="7" t="s">
        <v>9</v>
      </c>
      <c r="B11" s="1">
        <v>400</v>
      </c>
      <c r="C11" s="1">
        <f>(400+400+400)/3</f>
        <v>400</v>
      </c>
      <c r="D11" s="1"/>
      <c r="E11" s="1"/>
      <c r="F11" s="1"/>
    </row>
    <row r="12" spans="1:6" x14ac:dyDescent="0.25">
      <c r="A12" s="7" t="s">
        <v>10</v>
      </c>
      <c r="B12" s="1">
        <v>333</v>
      </c>
      <c r="C12" s="1">
        <f>(333+333+325)/3</f>
        <v>330.33333333333331</v>
      </c>
    </row>
    <row r="13" spans="1:6" x14ac:dyDescent="0.25">
      <c r="A13" s="7" t="s">
        <v>11</v>
      </c>
      <c r="B13" s="1">
        <v>400</v>
      </c>
      <c r="C13" s="1">
        <f>400*11/12</f>
        <v>366.66666666666669</v>
      </c>
      <c r="D13" s="1"/>
      <c r="E13" s="1"/>
      <c r="F13" s="1"/>
    </row>
    <row r="14" spans="1:6" x14ac:dyDescent="0.25">
      <c r="B14" s="1"/>
      <c r="C14" s="1"/>
      <c r="D14" s="1"/>
      <c r="E14" s="1"/>
      <c r="F14" s="1"/>
    </row>
    <row r="15" spans="1:6" x14ac:dyDescent="0.25">
      <c r="A15" s="8" t="s">
        <v>12</v>
      </c>
      <c r="B15" s="1"/>
      <c r="C15" s="1"/>
      <c r="D15" s="1"/>
      <c r="E15" s="1"/>
      <c r="F15" s="1"/>
    </row>
    <row r="16" spans="1:6" x14ac:dyDescent="0.25">
      <c r="A16" s="7" t="s">
        <v>8</v>
      </c>
      <c r="B16" s="1">
        <f>C16*3</f>
        <v>34384776.912500098</v>
      </c>
      <c r="C16" s="1">
        <v>11461592.304166701</v>
      </c>
      <c r="D16" s="1"/>
      <c r="E16" s="1"/>
      <c r="F16" s="1"/>
    </row>
    <row r="17" spans="1:8" x14ac:dyDescent="0.25">
      <c r="A17" s="7" t="s">
        <v>9</v>
      </c>
      <c r="B17" s="1">
        <f>SUM(D17:F17)</f>
        <v>136750000</v>
      </c>
      <c r="C17" s="1">
        <f>AVERAGE(D17:F17)</f>
        <v>45583333.333333336</v>
      </c>
      <c r="D17" s="1">
        <f>3*9000000</f>
        <v>27000000</v>
      </c>
      <c r="E17" s="1">
        <v>14000000</v>
      </c>
      <c r="F17" s="1">
        <v>95750000</v>
      </c>
    </row>
    <row r="18" spans="1:8" x14ac:dyDescent="0.25">
      <c r="A18" s="7" t="s">
        <v>10</v>
      </c>
      <c r="B18" s="1">
        <f>SUM(D18:F18)</f>
        <v>64495088.869999997</v>
      </c>
      <c r="C18" s="1">
        <f t="shared" ref="C18:C19" si="0">AVERAGE(D18:F18)</f>
        <v>21498362.956666667</v>
      </c>
      <c r="D18" s="1">
        <v>29983148.869999997</v>
      </c>
      <c r="E18" s="2">
        <v>34511940</v>
      </c>
      <c r="F18" s="1">
        <v>0</v>
      </c>
    </row>
    <row r="19" spans="1:8" x14ac:dyDescent="0.25">
      <c r="A19" s="7" t="s">
        <v>11</v>
      </c>
      <c r="B19" s="1">
        <f>SUM(D19:F19)</f>
        <v>561337828</v>
      </c>
      <c r="C19" s="1">
        <f t="shared" si="0"/>
        <v>187112609.33333334</v>
      </c>
      <c r="D19" s="1">
        <v>109000000</v>
      </c>
      <c r="E19" s="1">
        <v>176531760</v>
      </c>
      <c r="F19" s="1">
        <v>275806068</v>
      </c>
    </row>
    <row r="20" spans="1:8" x14ac:dyDescent="0.25">
      <c r="A20" s="7" t="s">
        <v>13</v>
      </c>
      <c r="B20" s="1"/>
      <c r="C20" s="1"/>
      <c r="D20" s="1"/>
      <c r="E20" s="1"/>
      <c r="F20" s="1"/>
    </row>
    <row r="21" spans="1:8" x14ac:dyDescent="0.25">
      <c r="B21" s="1"/>
      <c r="C21" s="1"/>
      <c r="D21" s="1"/>
      <c r="E21" s="1"/>
      <c r="F21" s="1"/>
    </row>
    <row r="22" spans="1:8" x14ac:dyDescent="0.25">
      <c r="A22" s="7" t="s">
        <v>14</v>
      </c>
      <c r="B22" s="1"/>
      <c r="C22" s="1"/>
      <c r="D22" s="1"/>
      <c r="E22" s="1"/>
      <c r="F22" s="1"/>
    </row>
    <row r="23" spans="1:8" x14ac:dyDescent="0.25">
      <c r="A23" s="7" t="s">
        <v>9</v>
      </c>
      <c r="B23" s="1">
        <f>B17</f>
        <v>136750000</v>
      </c>
      <c r="C23" s="1"/>
      <c r="D23" s="1"/>
      <c r="E23" s="1"/>
      <c r="F23" s="1"/>
      <c r="H23" s="9"/>
    </row>
    <row r="24" spans="1:8" x14ac:dyDescent="0.25">
      <c r="A24" s="7" t="s">
        <v>10</v>
      </c>
      <c r="B24" s="1">
        <v>81933970</v>
      </c>
      <c r="C24" s="1"/>
      <c r="D24" s="1"/>
      <c r="E24" s="1"/>
      <c r="F24" s="1"/>
      <c r="H24" s="9"/>
    </row>
    <row r="25" spans="1:8" x14ac:dyDescent="0.25">
      <c r="B25" s="1"/>
      <c r="C25" s="1"/>
      <c r="D25" s="1"/>
      <c r="E25" s="1"/>
      <c r="F25" s="1"/>
    </row>
    <row r="26" spans="1:8" x14ac:dyDescent="0.25">
      <c r="A26" s="3" t="s">
        <v>15</v>
      </c>
      <c r="B26" s="1"/>
      <c r="C26" s="1"/>
      <c r="D26" s="1"/>
      <c r="E26" s="1"/>
      <c r="F26" s="1"/>
    </row>
    <row r="27" spans="1:8" x14ac:dyDescent="0.25">
      <c r="A27" s="3" t="s">
        <v>16</v>
      </c>
      <c r="B27" s="21">
        <v>1.4042433660666667</v>
      </c>
      <c r="C27" s="21">
        <v>1.4042433660666667</v>
      </c>
      <c r="D27" s="21">
        <v>1.4042433660666667</v>
      </c>
      <c r="E27" s="21">
        <v>1.4042433660666667</v>
      </c>
      <c r="F27" s="21">
        <v>1.4042433660666667</v>
      </c>
    </row>
    <row r="28" spans="1:8" x14ac:dyDescent="0.25">
      <c r="A28" s="3" t="s">
        <v>17</v>
      </c>
      <c r="B28" s="21">
        <v>1.4773597119666666</v>
      </c>
      <c r="C28" s="21">
        <v>1.4773597119666666</v>
      </c>
      <c r="D28" s="21">
        <v>1.4773597119666666</v>
      </c>
      <c r="E28" s="21">
        <v>1.4773597119666666</v>
      </c>
      <c r="F28" s="21">
        <v>1.4773597119666666</v>
      </c>
    </row>
    <row r="29" spans="1:8" x14ac:dyDescent="0.25">
      <c r="A29" s="3" t="s">
        <v>18</v>
      </c>
      <c r="B29" s="1"/>
      <c r="C29" s="1"/>
      <c r="D29" s="1"/>
      <c r="E29" s="1"/>
      <c r="F29" s="1"/>
    </row>
    <row r="30" spans="1:8" x14ac:dyDescent="0.25">
      <c r="B30" s="1"/>
      <c r="C30" s="1"/>
      <c r="D30" s="1"/>
      <c r="E30" s="1"/>
      <c r="F30" s="1"/>
    </row>
    <row r="31" spans="1:8" x14ac:dyDescent="0.25">
      <c r="A31" s="3" t="s">
        <v>19</v>
      </c>
      <c r="B31" s="1"/>
      <c r="C31" s="1"/>
      <c r="D31" s="1"/>
      <c r="E31" s="1"/>
      <c r="F31" s="1"/>
    </row>
    <row r="32" spans="1:8" x14ac:dyDescent="0.25">
      <c r="A32" s="3" t="s">
        <v>20</v>
      </c>
      <c r="B32" s="1">
        <f>B16/B27</f>
        <v>24486337.442214895</v>
      </c>
      <c r="C32" s="1">
        <f>C16/C27</f>
        <v>8162112.4807382999</v>
      </c>
      <c r="D32" s="1"/>
      <c r="E32" s="1"/>
      <c r="F32" s="1"/>
      <c r="G32" s="1"/>
    </row>
    <row r="33" spans="1:6" x14ac:dyDescent="0.25">
      <c r="A33" s="3" t="s">
        <v>21</v>
      </c>
      <c r="B33" s="1">
        <f>B18/B28</f>
        <v>43655643.475036897</v>
      </c>
      <c r="C33" s="1">
        <f>C18/C28</f>
        <v>14551881.158345632</v>
      </c>
      <c r="D33" s="1">
        <f>D18/D28</f>
        <v>20295090.37449405</v>
      </c>
      <c r="E33" s="1">
        <f>E18/E28</f>
        <v>23360553.100542847</v>
      </c>
      <c r="F33" s="1">
        <f t="shared" ref="F33" si="1">F18/F28</f>
        <v>0</v>
      </c>
    </row>
    <row r="34" spans="1:6" x14ac:dyDescent="0.25">
      <c r="A34" s="3" t="s">
        <v>22</v>
      </c>
      <c r="B34" s="1">
        <f>B32/B10</f>
        <v>76519.804506921544</v>
      </c>
      <c r="C34" s="1">
        <f>B32/C10</f>
        <v>76519.804506921544</v>
      </c>
      <c r="D34" s="1"/>
      <c r="E34" s="1"/>
      <c r="F34" s="1"/>
    </row>
    <row r="35" spans="1:6" x14ac:dyDescent="0.25">
      <c r="A35" s="3" t="s">
        <v>23</v>
      </c>
      <c r="B35" s="1">
        <f>B33/B12</f>
        <v>131098.02845356424</v>
      </c>
      <c r="C35" s="1">
        <f>B33/C12</f>
        <v>132156.33746227113</v>
      </c>
    </row>
    <row r="36" spans="1:6" x14ac:dyDescent="0.25">
      <c r="B36" s="1"/>
      <c r="C36" s="1"/>
      <c r="D36" s="1"/>
      <c r="E36" s="1"/>
      <c r="F36" s="1"/>
    </row>
    <row r="37" spans="1:6" x14ac:dyDescent="0.25">
      <c r="A37" s="6" t="s">
        <v>24</v>
      </c>
      <c r="B37" s="1"/>
      <c r="C37" s="1"/>
      <c r="D37" s="1"/>
      <c r="E37" s="1"/>
      <c r="F37" s="1"/>
    </row>
    <row r="38" spans="1:6" x14ac:dyDescent="0.25">
      <c r="B38" s="1"/>
      <c r="C38" s="1"/>
      <c r="D38" s="1"/>
      <c r="E38" s="1"/>
      <c r="F38" s="1"/>
    </row>
    <row r="39" spans="1:6" x14ac:dyDescent="0.25">
      <c r="A39" s="3" t="s">
        <v>25</v>
      </c>
      <c r="B39" s="1"/>
      <c r="C39" s="1"/>
      <c r="D39" s="1"/>
      <c r="E39" s="1"/>
      <c r="F39" s="1"/>
    </row>
    <row r="40" spans="1:6" x14ac:dyDescent="0.25">
      <c r="A40" s="3" t="s">
        <v>26</v>
      </c>
      <c r="B40" s="1" t="s">
        <v>130</v>
      </c>
      <c r="C40" s="1" t="s">
        <v>130</v>
      </c>
      <c r="D40" s="1"/>
      <c r="E40" s="1"/>
      <c r="F40" s="1"/>
    </row>
    <row r="41" spans="1:6" x14ac:dyDescent="0.25">
      <c r="A41" s="3" t="s">
        <v>27</v>
      </c>
      <c r="B41" s="1" t="s">
        <v>130</v>
      </c>
      <c r="C41" s="1" t="s">
        <v>130</v>
      </c>
      <c r="D41" s="1"/>
      <c r="E41" s="1"/>
      <c r="F41" s="1"/>
    </row>
    <row r="42" spans="1:6" x14ac:dyDescent="0.25">
      <c r="B42" s="1"/>
      <c r="C42" s="1"/>
      <c r="D42" s="1"/>
      <c r="E42" s="1"/>
      <c r="F42" s="1"/>
    </row>
    <row r="43" spans="1:6" x14ac:dyDescent="0.25">
      <c r="A43" s="3" t="s">
        <v>28</v>
      </c>
      <c r="B43" s="1"/>
      <c r="C43" s="1"/>
      <c r="D43" s="1"/>
      <c r="E43" s="1"/>
      <c r="F43" s="1"/>
    </row>
    <row r="44" spans="1:6" x14ac:dyDescent="0.25">
      <c r="A44" s="1" t="s">
        <v>29</v>
      </c>
      <c r="B44" s="21">
        <f>B12/B11*100</f>
        <v>83.25</v>
      </c>
      <c r="C44" s="21">
        <f>C12/C11*100</f>
        <v>82.583333333333329</v>
      </c>
      <c r="D44" s="21"/>
      <c r="E44" s="21"/>
      <c r="F44" s="21"/>
    </row>
    <row r="45" spans="1:6" x14ac:dyDescent="0.25">
      <c r="A45" s="1" t="s">
        <v>30</v>
      </c>
      <c r="B45" s="21">
        <f>B18/B17*100</f>
        <v>47.162770654478976</v>
      </c>
      <c r="C45" s="21">
        <f>C18/C17*100</f>
        <v>47.162770654478976</v>
      </c>
      <c r="D45" s="21">
        <f>D18/D17*100</f>
        <v>111.0486995185185</v>
      </c>
      <c r="E45" s="21">
        <f t="shared" ref="E45" si="2">E18/E17*100</f>
        <v>246.51385714285715</v>
      </c>
      <c r="F45" s="21">
        <f>F18/F17*100</f>
        <v>0</v>
      </c>
    </row>
    <row r="46" spans="1:6" x14ac:dyDescent="0.25">
      <c r="A46" s="1" t="s">
        <v>31</v>
      </c>
      <c r="B46" s="21">
        <f>AVERAGE(B44:B45)</f>
        <v>65.206385327239488</v>
      </c>
      <c r="C46" s="21">
        <f>AVERAGE(C44:C45)</f>
        <v>64.873051993906159</v>
      </c>
      <c r="D46" s="21"/>
      <c r="E46" s="21"/>
      <c r="F46" s="21"/>
    </row>
    <row r="47" spans="1:6" x14ac:dyDescent="0.25">
      <c r="A47" s="1"/>
      <c r="B47" s="21"/>
      <c r="C47" s="21"/>
      <c r="D47" s="21"/>
      <c r="E47" s="21"/>
      <c r="F47" s="21"/>
    </row>
    <row r="48" spans="1:6" x14ac:dyDescent="0.25">
      <c r="A48" s="1" t="s">
        <v>32</v>
      </c>
      <c r="B48" s="21"/>
      <c r="C48" s="21"/>
      <c r="D48" s="21"/>
      <c r="E48" s="21"/>
      <c r="F48" s="21"/>
    </row>
    <row r="49" spans="1:6" x14ac:dyDescent="0.25">
      <c r="A49" s="1" t="s">
        <v>33</v>
      </c>
      <c r="B49" s="21">
        <f>B12/B13*100</f>
        <v>83.25</v>
      </c>
      <c r="C49" s="21">
        <f>C12/C13*100</f>
        <v>90.090909090909079</v>
      </c>
      <c r="D49" s="21"/>
      <c r="E49" s="21"/>
      <c r="F49" s="21"/>
    </row>
    <row r="50" spans="1:6" x14ac:dyDescent="0.25">
      <c r="A50" s="1" t="s">
        <v>34</v>
      </c>
      <c r="B50" s="21">
        <f>B18/B19*100</f>
        <v>11.489531909828816</v>
      </c>
      <c r="C50" s="21">
        <f>C18/C19*100</f>
        <v>11.489531909828816</v>
      </c>
      <c r="D50" s="21">
        <f>D18/D19*100</f>
        <v>27.50747602752293</v>
      </c>
      <c r="E50" s="21">
        <f t="shared" ref="E50:F50" si="3">E18/E19*100</f>
        <v>19.549989191746572</v>
      </c>
      <c r="F50" s="21">
        <f t="shared" si="3"/>
        <v>0</v>
      </c>
    </row>
    <row r="51" spans="1:6" x14ac:dyDescent="0.25">
      <c r="A51" s="1" t="s">
        <v>35</v>
      </c>
      <c r="B51" s="21">
        <f>(B49+B50)/2</f>
        <v>47.369765954914406</v>
      </c>
      <c r="C51" s="21">
        <f>(C49+C50)/2</f>
        <v>50.790220500368946</v>
      </c>
      <c r="D51" s="21"/>
      <c r="E51" s="21"/>
      <c r="F51" s="21"/>
    </row>
    <row r="52" spans="1:6" x14ac:dyDescent="0.25">
      <c r="A52" s="1"/>
      <c r="B52" s="21"/>
      <c r="C52" s="21"/>
      <c r="D52" s="21"/>
      <c r="E52" s="21"/>
      <c r="F52" s="21"/>
    </row>
    <row r="53" spans="1:6" x14ac:dyDescent="0.25">
      <c r="A53" s="1" t="s">
        <v>109</v>
      </c>
      <c r="B53" s="21"/>
      <c r="C53" s="21"/>
      <c r="D53" s="21"/>
      <c r="E53" s="21"/>
      <c r="F53" s="21"/>
    </row>
    <row r="54" spans="1:6" x14ac:dyDescent="0.25">
      <c r="A54" s="1" t="s">
        <v>36</v>
      </c>
      <c r="B54" s="21">
        <f>B20/B18*100</f>
        <v>0</v>
      </c>
      <c r="C54" s="21">
        <f>C20/C18*100</f>
        <v>0</v>
      </c>
      <c r="D54" s="21">
        <f t="shared" ref="D54:F54" si="4">D20/D18*100</f>
        <v>0</v>
      </c>
      <c r="E54" s="21">
        <f t="shared" si="4"/>
        <v>0</v>
      </c>
      <c r="F54" s="21" t="e">
        <f t="shared" si="4"/>
        <v>#DIV/0!</v>
      </c>
    </row>
    <row r="55" spans="1:6" x14ac:dyDescent="0.25">
      <c r="A55" s="1"/>
      <c r="B55" s="21"/>
      <c r="C55" s="21"/>
      <c r="D55" s="21"/>
      <c r="E55" s="21"/>
      <c r="F55" s="21"/>
    </row>
    <row r="56" spans="1:6" x14ac:dyDescent="0.25">
      <c r="A56" s="1" t="s">
        <v>37</v>
      </c>
      <c r="B56" s="21"/>
      <c r="C56" s="21"/>
      <c r="D56" s="21"/>
      <c r="E56" s="21"/>
      <c r="F56" s="21"/>
    </row>
    <row r="57" spans="1:6" x14ac:dyDescent="0.25">
      <c r="A57" s="1" t="s">
        <v>38</v>
      </c>
      <c r="B57" s="21">
        <f>((B12/B10)-1)*100</f>
        <v>4.0624999999999911</v>
      </c>
      <c r="C57" s="21">
        <f>((C12/C10)-1)*100</f>
        <v>3.2291666666666607</v>
      </c>
      <c r="D57" s="21"/>
      <c r="E57" s="21"/>
      <c r="F57" s="21"/>
    </row>
    <row r="58" spans="1:6" x14ac:dyDescent="0.25">
      <c r="A58" s="1" t="s">
        <v>39</v>
      </c>
      <c r="B58" s="21">
        <f>((B33/B32)-1)*100</f>
        <v>78.285721897198755</v>
      </c>
      <c r="C58" s="21">
        <f>((C33/C32)-1)*100</f>
        <v>78.285721897198712</v>
      </c>
      <c r="D58" s="21"/>
      <c r="E58" s="21"/>
      <c r="F58" s="21"/>
    </row>
    <row r="59" spans="1:6" x14ac:dyDescent="0.25">
      <c r="A59" s="1" t="s">
        <v>40</v>
      </c>
      <c r="B59" s="21">
        <f>((B35/B34)-1)*100</f>
        <v>71.325618639950733</v>
      </c>
      <c r="C59" s="21">
        <f>((C35/C34)-1)*100</f>
        <v>72.708671060858521</v>
      </c>
      <c r="D59" s="21"/>
      <c r="E59" s="21"/>
      <c r="F59" s="2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 t="s">
        <v>41</v>
      </c>
      <c r="B61" s="1"/>
      <c r="C61" s="1"/>
      <c r="D61" s="1"/>
      <c r="E61" s="1"/>
      <c r="F61" s="1"/>
    </row>
    <row r="62" spans="1:6" x14ac:dyDescent="0.25">
      <c r="A62" s="1" t="s">
        <v>111</v>
      </c>
      <c r="B62" s="1">
        <f>B17/(C11*3)</f>
        <v>113958.33333333333</v>
      </c>
      <c r="C62" s="1"/>
      <c r="D62" s="1"/>
      <c r="E62" s="1"/>
      <c r="F62" s="1"/>
    </row>
    <row r="63" spans="1:6" x14ac:dyDescent="0.25">
      <c r="A63" s="1" t="s">
        <v>112</v>
      </c>
      <c r="B63" s="1">
        <f>B18/(C12*3)</f>
        <v>65080.816215943487</v>
      </c>
      <c r="C63" s="1"/>
      <c r="D63" s="3">
        <f>D18/(C12*3)</f>
        <v>30255.447901109987</v>
      </c>
    </row>
    <row r="64" spans="1:6" x14ac:dyDescent="0.25">
      <c r="A64" s="1" t="s">
        <v>42</v>
      </c>
      <c r="B64" s="21">
        <f>(B62/B63)*B46</f>
        <v>114.17820836676806</v>
      </c>
      <c r="C64" s="1"/>
      <c r="D64" s="1"/>
      <c r="E64" s="1"/>
      <c r="F64" s="1"/>
    </row>
    <row r="65" spans="1:8" x14ac:dyDescent="0.25">
      <c r="A65" s="1" t="s">
        <v>113</v>
      </c>
      <c r="B65" s="1">
        <f>B17/C11</f>
        <v>341875</v>
      </c>
      <c r="C65" s="1"/>
      <c r="D65" s="1"/>
      <c r="E65" s="1"/>
      <c r="F65" s="1"/>
    </row>
    <row r="66" spans="1:8" x14ac:dyDescent="0.25">
      <c r="A66" s="1" t="s">
        <v>114</v>
      </c>
      <c r="B66" s="1">
        <f>B18/C12</f>
        <v>195242.44864783049</v>
      </c>
      <c r="C66" s="1"/>
      <c r="D66" s="1">
        <f>D18/C12</f>
        <v>90766.343703329971</v>
      </c>
      <c r="E66" s="1"/>
      <c r="F66" s="1"/>
    </row>
    <row r="67" spans="1:8" x14ac:dyDescent="0.25">
      <c r="B67" s="1"/>
      <c r="C67" s="1"/>
      <c r="D67" s="1"/>
      <c r="E67" s="1"/>
      <c r="F67" s="1"/>
    </row>
    <row r="68" spans="1:8" x14ac:dyDescent="0.25">
      <c r="A68" s="3" t="s">
        <v>43</v>
      </c>
      <c r="B68" s="1"/>
      <c r="C68" s="1"/>
      <c r="D68" s="1"/>
      <c r="E68" s="1"/>
      <c r="F68" s="1"/>
    </row>
    <row r="69" spans="1:8" x14ac:dyDescent="0.25">
      <c r="A69" s="3" t="s">
        <v>44</v>
      </c>
      <c r="B69" s="21">
        <f>(B24/B23)*100</f>
        <v>59.915151736745884</v>
      </c>
      <c r="C69" s="1"/>
      <c r="D69" s="1"/>
      <c r="E69" s="1"/>
      <c r="F69" s="1"/>
      <c r="H69" s="9"/>
    </row>
    <row r="70" spans="1:8" x14ac:dyDescent="0.25">
      <c r="A70" s="3" t="s">
        <v>45</v>
      </c>
      <c r="B70" s="21">
        <f>(B18/B24)*100</f>
        <v>78.715932927453665</v>
      </c>
      <c r="C70" s="1"/>
      <c r="D70" s="1"/>
      <c r="E70" s="1"/>
      <c r="F70" s="1"/>
      <c r="H70" s="9"/>
    </row>
    <row r="71" spans="1:8" ht="15.75" thickBot="1" x14ac:dyDescent="0.3">
      <c r="A71" s="10"/>
      <c r="B71" s="10"/>
      <c r="C71" s="10"/>
      <c r="D71" s="10"/>
      <c r="E71" s="10"/>
      <c r="F71" s="10"/>
    </row>
    <row r="72" spans="1:8" ht="15.75" thickTop="1" x14ac:dyDescent="0.25"/>
    <row r="73" spans="1:8" x14ac:dyDescent="0.25">
      <c r="A73" s="11" t="s">
        <v>46</v>
      </c>
    </row>
    <row r="74" spans="1:8" x14ac:dyDescent="0.25">
      <c r="A74" s="11" t="s">
        <v>110</v>
      </c>
    </row>
    <row r="75" spans="1:8" x14ac:dyDescent="0.25">
      <c r="A75" s="11" t="s">
        <v>47</v>
      </c>
    </row>
    <row r="76" spans="1:8" x14ac:dyDescent="0.25">
      <c r="A76" s="11" t="s">
        <v>119</v>
      </c>
    </row>
    <row r="77" spans="1:8" x14ac:dyDescent="0.25">
      <c r="A77" s="3" t="s">
        <v>120</v>
      </c>
    </row>
    <row r="78" spans="1:8" x14ac:dyDescent="0.25">
      <c r="A78" s="12" t="s">
        <v>121</v>
      </c>
    </row>
    <row r="79" spans="1:8" x14ac:dyDescent="0.25">
      <c r="A79" s="12" t="s">
        <v>122</v>
      </c>
    </row>
    <row r="80" spans="1:8" x14ac:dyDescent="0.25">
      <c r="A80" s="12" t="s">
        <v>123</v>
      </c>
    </row>
  </sheetData>
  <mergeCells count="5">
    <mergeCell ref="A2:F2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workbookViewId="0">
      <selection activeCell="D63" sqref="D63"/>
    </sheetView>
  </sheetViews>
  <sheetFormatPr baseColWidth="10" defaultRowHeight="15" x14ac:dyDescent="0.25"/>
  <cols>
    <col min="1" max="1" width="55.140625" style="1" customWidth="1"/>
    <col min="2" max="2" width="15.140625" style="1" bestFit="1" customWidth="1"/>
    <col min="3" max="3" width="13.85546875" style="1" customWidth="1"/>
    <col min="4" max="4" width="20.7109375" style="1" customWidth="1"/>
    <col min="5" max="5" width="13.7109375" style="1" customWidth="1"/>
    <col min="6" max="6" width="15.140625" style="1" bestFit="1" customWidth="1"/>
    <col min="7" max="7" width="13.7109375" style="1" bestFit="1" customWidth="1"/>
    <col min="8" max="16384" width="11.42578125" style="1"/>
  </cols>
  <sheetData>
    <row r="2" spans="1:6" ht="15.75" x14ac:dyDescent="0.25">
      <c r="A2" s="29" t="s">
        <v>131</v>
      </c>
      <c r="B2" s="29"/>
      <c r="C2" s="29"/>
      <c r="D2" s="29"/>
      <c r="E2" s="29"/>
      <c r="F2" s="29"/>
    </row>
    <row r="4" spans="1:6" ht="15" customHeight="1" x14ac:dyDescent="0.25">
      <c r="A4" s="30" t="s">
        <v>0</v>
      </c>
      <c r="B4" s="32" t="s">
        <v>1</v>
      </c>
      <c r="C4" s="32" t="s">
        <v>58</v>
      </c>
      <c r="D4" s="34" t="s">
        <v>2</v>
      </c>
      <c r="E4" s="34"/>
      <c r="F4" s="34"/>
    </row>
    <row r="5" spans="1:6" ht="15.75" thickBot="1" x14ac:dyDescent="0.3">
      <c r="A5" s="31"/>
      <c r="B5" s="33"/>
      <c r="C5" s="33"/>
      <c r="D5" s="13" t="s">
        <v>3</v>
      </c>
      <c r="E5" s="14" t="s">
        <v>4</v>
      </c>
      <c r="F5" s="14" t="s">
        <v>5</v>
      </c>
    </row>
    <row r="6" spans="1:6" ht="15.75" thickTop="1" x14ac:dyDescent="0.25"/>
    <row r="7" spans="1:6" x14ac:dyDescent="0.25">
      <c r="A7" s="15" t="s">
        <v>6</v>
      </c>
    </row>
    <row r="9" spans="1:6" x14ac:dyDescent="0.25">
      <c r="A9" s="1" t="s">
        <v>7</v>
      </c>
    </row>
    <row r="10" spans="1:6" x14ac:dyDescent="0.25">
      <c r="A10" s="16" t="s">
        <v>69</v>
      </c>
      <c r="B10" s="1">
        <v>320</v>
      </c>
      <c r="C10" s="1">
        <v>320</v>
      </c>
    </row>
    <row r="11" spans="1:6" x14ac:dyDescent="0.25">
      <c r="A11" s="16" t="s">
        <v>70</v>
      </c>
      <c r="B11" s="1">
        <v>400</v>
      </c>
      <c r="C11" s="1">
        <f>(400+400+400)/3</f>
        <v>400</v>
      </c>
    </row>
    <row r="12" spans="1:6" x14ac:dyDescent="0.25">
      <c r="A12" s="16" t="s">
        <v>71</v>
      </c>
      <c r="B12" s="1">
        <v>320</v>
      </c>
      <c r="C12" s="1">
        <f>(320+320+320)/3</f>
        <v>320</v>
      </c>
    </row>
    <row r="13" spans="1:6" x14ac:dyDescent="0.25">
      <c r="A13" s="16" t="s">
        <v>11</v>
      </c>
      <c r="B13" s="1">
        <v>400</v>
      </c>
      <c r="C13" s="1">
        <f>400*11/12</f>
        <v>366.66666666666669</v>
      </c>
    </row>
    <row r="15" spans="1:6" x14ac:dyDescent="0.25">
      <c r="A15" s="17" t="s">
        <v>12</v>
      </c>
    </row>
    <row r="16" spans="1:6" x14ac:dyDescent="0.25">
      <c r="A16" s="16" t="s">
        <v>69</v>
      </c>
      <c r="B16" s="1">
        <f>C16*3</f>
        <v>34384776.912500098</v>
      </c>
      <c r="C16" s="1">
        <v>11461592.304166701</v>
      </c>
    </row>
    <row r="17" spans="1:8" x14ac:dyDescent="0.25">
      <c r="A17" s="16" t="s">
        <v>70</v>
      </c>
      <c r="B17" s="1">
        <f>SUM(D17:F17)</f>
        <v>27000000</v>
      </c>
      <c r="C17" s="1">
        <f>AVERAGE(D17:F17)</f>
        <v>9000000</v>
      </c>
      <c r="D17" s="1">
        <f>3*9000000</f>
        <v>27000000</v>
      </c>
      <c r="E17" s="1">
        <v>0</v>
      </c>
      <c r="F17" s="1">
        <v>0</v>
      </c>
    </row>
    <row r="18" spans="1:8" x14ac:dyDescent="0.25">
      <c r="A18" s="16" t="s">
        <v>71</v>
      </c>
      <c r="B18" s="1">
        <f>SUM(D18:F18)</f>
        <v>224668633.21000001</v>
      </c>
      <c r="C18" s="1">
        <f t="shared" ref="C18:C19" si="0">AVERAGE(D18:F18)</f>
        <v>74889544.403333336</v>
      </c>
      <c r="D18" s="1">
        <v>24808821.16</v>
      </c>
      <c r="E18" s="2">
        <v>21028718.370000001</v>
      </c>
      <c r="F18" s="1">
        <v>178831093.68000001</v>
      </c>
    </row>
    <row r="19" spans="1:8" x14ac:dyDescent="0.25">
      <c r="A19" s="16" t="s">
        <v>11</v>
      </c>
      <c r="B19" s="1">
        <f>SUM(D19:F19)</f>
        <v>561337828</v>
      </c>
      <c r="C19" s="1">
        <f t="shared" si="0"/>
        <v>187112609.33333334</v>
      </c>
      <c r="D19" s="1">
        <v>109000000</v>
      </c>
      <c r="E19" s="1">
        <v>176531760</v>
      </c>
      <c r="F19" s="1">
        <v>275806068</v>
      </c>
    </row>
    <row r="20" spans="1:8" x14ac:dyDescent="0.25">
      <c r="A20" s="16" t="s">
        <v>72</v>
      </c>
    </row>
    <row r="22" spans="1:8" x14ac:dyDescent="0.25">
      <c r="A22" s="17" t="s">
        <v>14</v>
      </c>
    </row>
    <row r="23" spans="1:8" x14ac:dyDescent="0.25">
      <c r="A23" s="16" t="s">
        <v>70</v>
      </c>
      <c r="B23" s="1">
        <f>B17</f>
        <v>27000000</v>
      </c>
      <c r="H23" s="18"/>
    </row>
    <row r="24" spans="1:8" x14ac:dyDescent="0.25">
      <c r="A24" s="16" t="s">
        <v>71</v>
      </c>
      <c r="B24" s="1">
        <v>317934973.38</v>
      </c>
      <c r="H24" s="18"/>
    </row>
    <row r="26" spans="1:8" x14ac:dyDescent="0.25">
      <c r="A26" s="1" t="s">
        <v>15</v>
      </c>
    </row>
    <row r="27" spans="1:8" x14ac:dyDescent="0.25">
      <c r="A27" s="1" t="s">
        <v>73</v>
      </c>
      <c r="B27" s="21">
        <v>1.4207485692333333</v>
      </c>
      <c r="C27" s="21">
        <v>1.4207485692333333</v>
      </c>
      <c r="D27" s="21">
        <v>1.4207485692333333</v>
      </c>
      <c r="E27" s="21">
        <v>1.4207485692333333</v>
      </c>
      <c r="F27" s="21">
        <v>1.4207485692333333</v>
      </c>
    </row>
    <row r="28" spans="1:8" x14ac:dyDescent="0.25">
      <c r="A28" s="1" t="s">
        <v>74</v>
      </c>
      <c r="B28" s="21">
        <v>1.4880743485666665</v>
      </c>
      <c r="C28" s="21">
        <v>1.4880743485666665</v>
      </c>
      <c r="D28" s="21">
        <v>1.4880743485666665</v>
      </c>
      <c r="E28" s="21">
        <v>1.4880743485666665</v>
      </c>
      <c r="F28" s="21">
        <v>1.4880743485666665</v>
      </c>
    </row>
    <row r="29" spans="1:8" x14ac:dyDescent="0.25">
      <c r="A29" s="1" t="s">
        <v>18</v>
      </c>
    </row>
    <row r="31" spans="1:8" x14ac:dyDescent="0.25">
      <c r="A31" s="1" t="s">
        <v>19</v>
      </c>
    </row>
    <row r="32" spans="1:8" x14ac:dyDescent="0.25">
      <c r="A32" s="1" t="s">
        <v>75</v>
      </c>
      <c r="B32" s="1">
        <f>B16/B27</f>
        <v>24201873.334319014</v>
      </c>
      <c r="C32" s="1">
        <f>C16/C27</f>
        <v>8067291.1114396723</v>
      </c>
    </row>
    <row r="33" spans="1:6" x14ac:dyDescent="0.25">
      <c r="A33" s="1" t="s">
        <v>76</v>
      </c>
      <c r="B33" s="1">
        <f>B18/B28</f>
        <v>150979440.93075988</v>
      </c>
      <c r="C33" s="1">
        <f>C18/C28</f>
        <v>50326480.310253292</v>
      </c>
      <c r="D33" s="1">
        <f>D18/D28</f>
        <v>16671761.853765031</v>
      </c>
      <c r="E33" s="1">
        <f>E18/E28</f>
        <v>14131497.119250223</v>
      </c>
      <c r="F33" s="1">
        <f t="shared" ref="F33" si="1">F18/F28</f>
        <v>120176181.95774461</v>
      </c>
    </row>
    <row r="34" spans="1:6" x14ac:dyDescent="0.25">
      <c r="A34" s="1" t="s">
        <v>77</v>
      </c>
      <c r="B34" s="1">
        <f>B32/B10</f>
        <v>75630.854169746919</v>
      </c>
      <c r="C34" s="1">
        <f>B32/C10</f>
        <v>75630.854169746919</v>
      </c>
    </row>
    <row r="35" spans="1:6" x14ac:dyDescent="0.25">
      <c r="A35" s="1" t="s">
        <v>78</v>
      </c>
      <c r="B35" s="1">
        <f>B33/B12</f>
        <v>471810.75290862459</v>
      </c>
      <c r="C35" s="1">
        <f>B33/C12</f>
        <v>471810.75290862459</v>
      </c>
    </row>
    <row r="37" spans="1:6" x14ac:dyDescent="0.25">
      <c r="A37" s="15" t="s">
        <v>24</v>
      </c>
    </row>
    <row r="39" spans="1:6" x14ac:dyDescent="0.25">
      <c r="A39" s="1" t="s">
        <v>25</v>
      </c>
    </row>
    <row r="40" spans="1:6" x14ac:dyDescent="0.25">
      <c r="A40" s="1" t="s">
        <v>26</v>
      </c>
      <c r="B40" s="1" t="s">
        <v>130</v>
      </c>
      <c r="C40" s="1" t="s">
        <v>130</v>
      </c>
    </row>
    <row r="41" spans="1:6" x14ac:dyDescent="0.25">
      <c r="A41" s="1" t="s">
        <v>27</v>
      </c>
      <c r="B41" s="1" t="s">
        <v>130</v>
      </c>
      <c r="C41" s="1" t="s">
        <v>130</v>
      </c>
    </row>
    <row r="43" spans="1:6" x14ac:dyDescent="0.25">
      <c r="A43" s="1" t="s">
        <v>28</v>
      </c>
    </row>
    <row r="44" spans="1:6" x14ac:dyDescent="0.25">
      <c r="A44" s="1" t="s">
        <v>29</v>
      </c>
      <c r="B44" s="21">
        <f>B12/B11*100</f>
        <v>80</v>
      </c>
      <c r="C44" s="21">
        <f>C12/C11*100</f>
        <v>80</v>
      </c>
      <c r="D44" s="21"/>
      <c r="E44" s="21"/>
      <c r="F44" s="21"/>
    </row>
    <row r="45" spans="1:6" x14ac:dyDescent="0.25">
      <c r="A45" s="1" t="s">
        <v>30</v>
      </c>
      <c r="B45" s="21">
        <f>B18/B17*100</f>
        <v>832.10604892592596</v>
      </c>
      <c r="C45" s="21">
        <f>C18/C17*100</f>
        <v>832.10604892592596</v>
      </c>
      <c r="D45" s="21">
        <f>D18/D17*100</f>
        <v>91.884522814814815</v>
      </c>
      <c r="E45" s="21" t="e">
        <f t="shared" ref="E45" si="2">E18/E17*100</f>
        <v>#DIV/0!</v>
      </c>
      <c r="F45" s="21" t="e">
        <f>F18/F17*100</f>
        <v>#DIV/0!</v>
      </c>
    </row>
    <row r="46" spans="1:6" x14ac:dyDescent="0.25">
      <c r="A46" s="1" t="s">
        <v>31</v>
      </c>
      <c r="B46" s="21">
        <f>AVERAGE(B44:B45)</f>
        <v>456.05302446296298</v>
      </c>
      <c r="C46" s="21">
        <f>AVERAGE(C44:C45)</f>
        <v>456.05302446296298</v>
      </c>
      <c r="D46" s="21"/>
      <c r="E46" s="21"/>
      <c r="F46" s="21"/>
    </row>
    <row r="47" spans="1:6" x14ac:dyDescent="0.25">
      <c r="B47" s="21"/>
      <c r="C47" s="21"/>
      <c r="D47" s="21"/>
      <c r="E47" s="21"/>
      <c r="F47" s="21"/>
    </row>
    <row r="48" spans="1:6" x14ac:dyDescent="0.25">
      <c r="A48" s="1" t="s">
        <v>32</v>
      </c>
      <c r="B48" s="21"/>
      <c r="C48" s="21"/>
      <c r="D48" s="21"/>
      <c r="E48" s="21"/>
      <c r="F48" s="21"/>
    </row>
    <row r="49" spans="1:6" x14ac:dyDescent="0.25">
      <c r="A49" s="1" t="s">
        <v>33</v>
      </c>
      <c r="B49" s="21">
        <f>B12/B13*100</f>
        <v>80</v>
      </c>
      <c r="C49" s="21">
        <f>C12/C13*100</f>
        <v>87.272727272727266</v>
      </c>
      <c r="D49" s="21"/>
      <c r="E49" s="21"/>
      <c r="F49" s="21"/>
    </row>
    <row r="50" spans="1:6" x14ac:dyDescent="0.25">
      <c r="A50" s="1" t="s">
        <v>34</v>
      </c>
      <c r="B50" s="21">
        <f>B18/B19*100</f>
        <v>40.023782827976454</v>
      </c>
      <c r="C50" s="21">
        <f>C18/C19*100</f>
        <v>40.023782827976447</v>
      </c>
      <c r="D50" s="21">
        <f>D18/D19*100</f>
        <v>22.760386385321102</v>
      </c>
      <c r="E50" s="21">
        <f t="shared" ref="E50:F50" si="3">E18/E19*100</f>
        <v>11.912144517224551</v>
      </c>
      <c r="F50" s="21">
        <f t="shared" si="3"/>
        <v>64.839434091058507</v>
      </c>
    </row>
    <row r="51" spans="1:6" x14ac:dyDescent="0.25">
      <c r="A51" s="1" t="s">
        <v>35</v>
      </c>
      <c r="B51" s="21">
        <f>(B49+B50)/2</f>
        <v>60.011891413988224</v>
      </c>
      <c r="C51" s="21">
        <f>(C49+C50)/2</f>
        <v>63.648255050351857</v>
      </c>
      <c r="D51" s="21"/>
      <c r="E51" s="21"/>
      <c r="F51" s="21"/>
    </row>
    <row r="52" spans="1:6" x14ac:dyDescent="0.25">
      <c r="B52" s="21"/>
      <c r="C52" s="21"/>
      <c r="D52" s="21"/>
      <c r="E52" s="21"/>
      <c r="F52" s="21"/>
    </row>
    <row r="53" spans="1:6" x14ac:dyDescent="0.25">
      <c r="A53" s="1" t="s">
        <v>109</v>
      </c>
      <c r="B53" s="21"/>
      <c r="C53" s="21"/>
      <c r="D53" s="21"/>
      <c r="E53" s="21"/>
      <c r="F53" s="21"/>
    </row>
    <row r="54" spans="1:6" x14ac:dyDescent="0.25">
      <c r="A54" s="1" t="s">
        <v>36</v>
      </c>
      <c r="B54" s="21">
        <f>B20/B18*100</f>
        <v>0</v>
      </c>
      <c r="C54" s="21">
        <f>C20/C18*100</f>
        <v>0</v>
      </c>
      <c r="D54" s="21">
        <f t="shared" ref="D54:F54" si="4">D20/D18*100</f>
        <v>0</v>
      </c>
      <c r="E54" s="21">
        <f t="shared" si="4"/>
        <v>0</v>
      </c>
      <c r="F54" s="21">
        <f t="shared" si="4"/>
        <v>0</v>
      </c>
    </row>
    <row r="55" spans="1:6" x14ac:dyDescent="0.25">
      <c r="B55" s="21"/>
      <c r="C55" s="21"/>
      <c r="D55" s="21"/>
      <c r="E55" s="21"/>
      <c r="F55" s="21"/>
    </row>
    <row r="56" spans="1:6" x14ac:dyDescent="0.25">
      <c r="A56" s="1" t="s">
        <v>37</v>
      </c>
      <c r="B56" s="21"/>
      <c r="C56" s="21"/>
      <c r="D56" s="21"/>
      <c r="E56" s="21"/>
      <c r="F56" s="21"/>
    </row>
    <row r="57" spans="1:6" x14ac:dyDescent="0.25">
      <c r="A57" s="1" t="s">
        <v>38</v>
      </c>
      <c r="B57" s="21">
        <f>((B12/B10)-1)*100</f>
        <v>0</v>
      </c>
      <c r="C57" s="21">
        <f>((C12/C10)-1)*100</f>
        <v>0</v>
      </c>
      <c r="D57" s="21"/>
      <c r="E57" s="21"/>
      <c r="F57" s="21"/>
    </row>
    <row r="58" spans="1:6" x14ac:dyDescent="0.25">
      <c r="A58" s="1" t="s">
        <v>39</v>
      </c>
      <c r="B58" s="21">
        <f>((B33/B32)-1)*100</f>
        <v>523.83369603321694</v>
      </c>
      <c r="C58" s="21">
        <f>((C33/C32)-1)*100</f>
        <v>523.83369603321682</v>
      </c>
      <c r="D58" s="21"/>
      <c r="E58" s="21"/>
      <c r="F58" s="21"/>
    </row>
    <row r="59" spans="1:6" x14ac:dyDescent="0.25">
      <c r="A59" s="1" t="s">
        <v>40</v>
      </c>
      <c r="B59" s="21">
        <f>((B35/B34)-1)*100</f>
        <v>523.83369603321694</v>
      </c>
      <c r="C59" s="21">
        <f>((C35/C34)-1)*100</f>
        <v>523.83369603321694</v>
      </c>
      <c r="D59" s="21"/>
      <c r="E59" s="21"/>
      <c r="F59" s="21"/>
    </row>
    <row r="61" spans="1:6" x14ac:dyDescent="0.25">
      <c r="A61" s="1" t="s">
        <v>41</v>
      </c>
    </row>
    <row r="62" spans="1:6" x14ac:dyDescent="0.25">
      <c r="A62" s="1" t="s">
        <v>111</v>
      </c>
      <c r="B62" s="1">
        <f>B17/(C11*3)</f>
        <v>22500</v>
      </c>
    </row>
    <row r="63" spans="1:6" x14ac:dyDescent="0.25">
      <c r="A63" s="1" t="s">
        <v>112</v>
      </c>
      <c r="B63" s="1">
        <f>B18/(C12*3)</f>
        <v>234029.82626041668</v>
      </c>
      <c r="D63" s="1">
        <f>D18/(C12*3)</f>
        <v>25842.522041666667</v>
      </c>
    </row>
    <row r="64" spans="1:6" x14ac:dyDescent="0.25">
      <c r="A64" s="1" t="s">
        <v>42</v>
      </c>
      <c r="B64" s="21">
        <f>(B62/B63)*B46</f>
        <v>43.84566366766655</v>
      </c>
    </row>
    <row r="65" spans="1:8" x14ac:dyDescent="0.25">
      <c r="A65" s="1" t="s">
        <v>113</v>
      </c>
      <c r="B65" s="1">
        <f>B17/C11</f>
        <v>67500</v>
      </c>
    </row>
    <row r="66" spans="1:8" x14ac:dyDescent="0.25">
      <c r="A66" s="1" t="s">
        <v>114</v>
      </c>
      <c r="B66" s="1">
        <f>B18/C12</f>
        <v>702089.47878125007</v>
      </c>
      <c r="D66" s="1">
        <f>D18/C12</f>
        <v>77527.566124999998</v>
      </c>
    </row>
    <row r="68" spans="1:8" x14ac:dyDescent="0.25">
      <c r="A68" s="1" t="s">
        <v>43</v>
      </c>
    </row>
    <row r="69" spans="1:8" x14ac:dyDescent="0.25">
      <c r="A69" s="1" t="s">
        <v>44</v>
      </c>
      <c r="B69" s="21">
        <f>(B24/B23)*100</f>
        <v>1177.5369384444443</v>
      </c>
      <c r="H69" s="18"/>
    </row>
    <row r="70" spans="1:8" x14ac:dyDescent="0.25">
      <c r="A70" s="1" t="s">
        <v>45</v>
      </c>
      <c r="B70" s="21">
        <f>(B18/B24)*100</f>
        <v>70.664963599796607</v>
      </c>
      <c r="H70" s="18"/>
    </row>
    <row r="71" spans="1:8" ht="15.75" thickBot="1" x14ac:dyDescent="0.3">
      <c r="A71" s="19"/>
      <c r="B71" s="19"/>
      <c r="C71" s="19"/>
      <c r="D71" s="19"/>
      <c r="E71" s="19"/>
      <c r="F71" s="19"/>
    </row>
    <row r="72" spans="1:8" ht="15.75" thickTop="1" x14ac:dyDescent="0.25"/>
    <row r="73" spans="1:8" x14ac:dyDescent="0.25">
      <c r="A73" s="20" t="s">
        <v>46</v>
      </c>
    </row>
    <row r="74" spans="1:8" x14ac:dyDescent="0.25">
      <c r="A74" s="20" t="s">
        <v>110</v>
      </c>
    </row>
    <row r="75" spans="1:8" x14ac:dyDescent="0.25">
      <c r="A75" s="20" t="s">
        <v>47</v>
      </c>
    </row>
    <row r="76" spans="1:8" x14ac:dyDescent="0.25">
      <c r="A76" s="11" t="s">
        <v>119</v>
      </c>
    </row>
    <row r="77" spans="1:8" x14ac:dyDescent="0.25">
      <c r="A77" s="3" t="s">
        <v>120</v>
      </c>
    </row>
    <row r="78" spans="1:8" x14ac:dyDescent="0.25">
      <c r="A78" s="12" t="s">
        <v>121</v>
      </c>
    </row>
    <row r="79" spans="1:8" x14ac:dyDescent="0.25">
      <c r="A79" s="12" t="s">
        <v>122</v>
      </c>
    </row>
    <row r="80" spans="1:8" x14ac:dyDescent="0.25">
      <c r="A80" s="12" t="s">
        <v>123</v>
      </c>
    </row>
  </sheetData>
  <mergeCells count="5">
    <mergeCell ref="A2:F2"/>
    <mergeCell ref="A4:A5"/>
    <mergeCell ref="B4:B5"/>
    <mergeCell ref="C4:C5"/>
    <mergeCell ref="D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topLeftCell="A70" workbookViewId="0">
      <selection activeCell="B27" sqref="B27:F28"/>
    </sheetView>
  </sheetViews>
  <sheetFormatPr baseColWidth="10" defaultRowHeight="15" x14ac:dyDescent="0.25"/>
  <cols>
    <col min="1" max="1" width="55.140625" style="1" customWidth="1"/>
    <col min="2" max="2" width="15.140625" style="1" bestFit="1" customWidth="1"/>
    <col min="3" max="3" width="13.85546875" style="1" customWidth="1"/>
    <col min="4" max="4" width="20.7109375" style="1" customWidth="1"/>
    <col min="5" max="5" width="13.7109375" style="1" customWidth="1"/>
    <col min="6" max="6" width="15.140625" style="1" bestFit="1" customWidth="1"/>
    <col min="7" max="7" width="13.7109375" style="1" bestFit="1" customWidth="1"/>
    <col min="8" max="16384" width="11.42578125" style="1"/>
  </cols>
  <sheetData>
    <row r="2" spans="1:6" ht="15.75" x14ac:dyDescent="0.25">
      <c r="A2" s="29" t="s">
        <v>127</v>
      </c>
      <c r="B2" s="29"/>
      <c r="C2" s="29"/>
      <c r="D2" s="29"/>
      <c r="E2" s="29"/>
      <c r="F2" s="29"/>
    </row>
    <row r="4" spans="1:6" ht="15" customHeight="1" x14ac:dyDescent="0.25">
      <c r="A4" s="30" t="s">
        <v>0</v>
      </c>
      <c r="B4" s="32" t="s">
        <v>1</v>
      </c>
      <c r="C4" s="32" t="s">
        <v>58</v>
      </c>
      <c r="D4" s="34" t="s">
        <v>2</v>
      </c>
      <c r="E4" s="34"/>
      <c r="F4" s="34"/>
    </row>
    <row r="5" spans="1:6" ht="15.75" thickBot="1" x14ac:dyDescent="0.3">
      <c r="A5" s="31"/>
      <c r="B5" s="33"/>
      <c r="C5" s="33"/>
      <c r="D5" s="13" t="s">
        <v>3</v>
      </c>
      <c r="E5" s="14" t="s">
        <v>4</v>
      </c>
      <c r="F5" s="14" t="s">
        <v>5</v>
      </c>
    </row>
    <row r="6" spans="1:6" ht="15.75" thickTop="1" x14ac:dyDescent="0.25"/>
    <row r="7" spans="1:6" x14ac:dyDescent="0.25">
      <c r="A7" s="15" t="s">
        <v>6</v>
      </c>
    </row>
    <row r="9" spans="1:6" x14ac:dyDescent="0.25">
      <c r="A9" s="1" t="s">
        <v>7</v>
      </c>
    </row>
    <row r="10" spans="1:6" x14ac:dyDescent="0.25">
      <c r="A10" s="16" t="s">
        <v>79</v>
      </c>
      <c r="B10" s="1">
        <f>'I Trimestre'!B10</f>
        <v>320</v>
      </c>
      <c r="C10" s="1">
        <f>('I Trimestre'!C10+'II Trimestre'!C10)/2</f>
        <v>320</v>
      </c>
    </row>
    <row r="11" spans="1:6" x14ac:dyDescent="0.25">
      <c r="A11" s="16" t="s">
        <v>80</v>
      </c>
      <c r="B11" s="1">
        <f>'I Trimestre'!B11</f>
        <v>400</v>
      </c>
      <c r="C11" s="1">
        <f>('I Trimestre'!C11+'II Trimestre'!C11)/2</f>
        <v>333.33333333333337</v>
      </c>
    </row>
    <row r="12" spans="1:6" x14ac:dyDescent="0.25">
      <c r="A12" s="16" t="s">
        <v>81</v>
      </c>
      <c r="B12" s="1">
        <f>'I Trimestre'!B12</f>
        <v>405</v>
      </c>
      <c r="C12" s="1">
        <f>('I Trimestre'!C12+'II Trimestre'!C12)/2</f>
        <v>305.66666666666669</v>
      </c>
    </row>
    <row r="13" spans="1:6" x14ac:dyDescent="0.25">
      <c r="A13" s="16" t="s">
        <v>11</v>
      </c>
      <c r="B13" s="1">
        <f>'I Trimestre'!B13</f>
        <v>400</v>
      </c>
      <c r="C13" s="1">
        <f>('I Trimestre'!C13+'II Trimestre'!C13)/2</f>
        <v>366.66666666666669</v>
      </c>
    </row>
    <row r="15" spans="1:6" x14ac:dyDescent="0.25">
      <c r="A15" s="17" t="s">
        <v>12</v>
      </c>
    </row>
    <row r="16" spans="1:6" x14ac:dyDescent="0.25">
      <c r="A16" s="16" t="s">
        <v>79</v>
      </c>
      <c r="B16" s="1">
        <f>'I Trimestre'!B16+'II Trimestre'!B16</f>
        <v>68769553.825000197</v>
      </c>
      <c r="C16" s="1">
        <v>11461592.304166701</v>
      </c>
    </row>
    <row r="17" spans="1:8" x14ac:dyDescent="0.25">
      <c r="A17" s="16" t="s">
        <v>80</v>
      </c>
      <c r="B17" s="1">
        <f>'I Trimestre'!B17+'II Trimestre'!B17</f>
        <v>397587828</v>
      </c>
      <c r="C17" s="1">
        <f>B17/6</f>
        <v>66264638</v>
      </c>
      <c r="D17" s="1">
        <f>'I Trimestre'!D17+'II Trimestre'!D17</f>
        <v>55000000</v>
      </c>
      <c r="E17" s="1">
        <f>'I Trimestre'!E17+'II Trimestre'!E17</f>
        <v>162531760</v>
      </c>
      <c r="F17" s="1">
        <f>'I Trimestre'!F17+'II Trimestre'!F17</f>
        <v>180056068</v>
      </c>
    </row>
    <row r="18" spans="1:8" x14ac:dyDescent="0.25">
      <c r="A18" s="16" t="s">
        <v>81</v>
      </c>
      <c r="B18" s="1">
        <f>SUM(D18:F18)</f>
        <v>172249630.94</v>
      </c>
      <c r="C18" s="1">
        <f>B18/6</f>
        <v>28708271.823333334</v>
      </c>
      <c r="D18" s="1">
        <f>'I Trimestre'!D18+'II Trimestre'!D18</f>
        <v>49975390.229999997</v>
      </c>
      <c r="E18" s="1">
        <f>'I Trimestre'!E18+'II Trimestre'!E18</f>
        <v>114590534.27</v>
      </c>
      <c r="F18" s="1">
        <f>'I Trimestre'!F18+'II Trimestre'!F18</f>
        <v>7683706.4400000004</v>
      </c>
    </row>
    <row r="19" spans="1:8" x14ac:dyDescent="0.25">
      <c r="A19" s="16" t="s">
        <v>11</v>
      </c>
      <c r="B19" s="1">
        <f>SUM(D19:F19)</f>
        <v>601337828</v>
      </c>
      <c r="C19" s="1">
        <f>B19/6</f>
        <v>100222971.33333333</v>
      </c>
      <c r="D19" s="1">
        <v>109000000</v>
      </c>
      <c r="E19" s="1">
        <v>196531760</v>
      </c>
      <c r="F19" s="1">
        <v>295806068</v>
      </c>
    </row>
    <row r="20" spans="1:8" x14ac:dyDescent="0.25">
      <c r="A20" s="16" t="s">
        <v>82</v>
      </c>
    </row>
    <row r="22" spans="1:8" x14ac:dyDescent="0.25">
      <c r="A22" s="16" t="s">
        <v>14</v>
      </c>
    </row>
    <row r="23" spans="1:8" x14ac:dyDescent="0.25">
      <c r="A23" s="16" t="s">
        <v>80</v>
      </c>
      <c r="B23" s="1">
        <f>B17</f>
        <v>397587828</v>
      </c>
      <c r="H23" s="18"/>
    </row>
    <row r="24" spans="1:8" x14ac:dyDescent="0.25">
      <c r="A24" s="16" t="s">
        <v>81</v>
      </c>
      <c r="B24" s="1">
        <f>'I Trimestre'!B24+'II Trimestre'!B24</f>
        <v>89806068</v>
      </c>
      <c r="H24" s="18"/>
    </row>
    <row r="26" spans="1:8" x14ac:dyDescent="0.25">
      <c r="A26" s="1" t="s">
        <v>15</v>
      </c>
    </row>
    <row r="27" spans="1:8" x14ac:dyDescent="0.25">
      <c r="A27" s="1" t="s">
        <v>83</v>
      </c>
      <c r="B27" s="21">
        <v>1.3875734139666667</v>
      </c>
      <c r="C27" s="21">
        <v>1.3875734139666667</v>
      </c>
      <c r="D27" s="21">
        <v>1.3875734139666667</v>
      </c>
      <c r="E27" s="21">
        <v>1.3875734139666667</v>
      </c>
      <c r="F27" s="21">
        <v>1.3875734139666667</v>
      </c>
    </row>
    <row r="28" spans="1:8" x14ac:dyDescent="0.25">
      <c r="A28" s="1" t="s">
        <v>84</v>
      </c>
      <c r="B28" s="21">
        <v>1.45394391315</v>
      </c>
      <c r="C28" s="21">
        <v>1.45394391315</v>
      </c>
      <c r="D28" s="21">
        <v>1.45394391315</v>
      </c>
      <c r="E28" s="21">
        <v>1.45394391315</v>
      </c>
      <c r="F28" s="21">
        <v>1.45394391315</v>
      </c>
    </row>
    <row r="29" spans="1:8" x14ac:dyDescent="0.25">
      <c r="A29" s="1" t="s">
        <v>18</v>
      </c>
    </row>
    <row r="31" spans="1:8" x14ac:dyDescent="0.25">
      <c r="A31" s="1" t="s">
        <v>19</v>
      </c>
    </row>
    <row r="32" spans="1:8" x14ac:dyDescent="0.25">
      <c r="A32" s="1" t="s">
        <v>85</v>
      </c>
      <c r="B32" s="1">
        <f>B16/B27</f>
        <v>49561020.074900508</v>
      </c>
      <c r="C32" s="1">
        <f>C16/C27</f>
        <v>8260170.0124834189</v>
      </c>
    </row>
    <row r="33" spans="1:6" x14ac:dyDescent="0.25">
      <c r="A33" s="1" t="s">
        <v>86</v>
      </c>
      <c r="B33" s="1">
        <f>B18/B28</f>
        <v>118470615.94474958</v>
      </c>
      <c r="C33" s="1">
        <f>C18/C28</f>
        <v>19745102.657458264</v>
      </c>
      <c r="D33" s="1">
        <f>D18/D28</f>
        <v>34372295.779778235</v>
      </c>
      <c r="E33" s="1">
        <f>E18/E28</f>
        <v>78813586.434525654</v>
      </c>
      <c r="F33" s="1">
        <f t="shared" ref="F33" si="0">F18/F28</f>
        <v>5284733.7304456877</v>
      </c>
    </row>
    <row r="34" spans="1:6" x14ac:dyDescent="0.25">
      <c r="A34" s="1" t="s">
        <v>87</v>
      </c>
      <c r="B34" s="1">
        <f>B32/B10</f>
        <v>154878.18773406409</v>
      </c>
      <c r="C34" s="1">
        <f>B32/C10</f>
        <v>154878.18773406409</v>
      </c>
    </row>
    <row r="35" spans="1:6" x14ac:dyDescent="0.25">
      <c r="A35" s="1" t="s">
        <v>88</v>
      </c>
      <c r="B35" s="1">
        <f>B33/B12</f>
        <v>292520.03936975205</v>
      </c>
      <c r="C35" s="1">
        <f>B33/C12</f>
        <v>387581.07724563655</v>
      </c>
    </row>
    <row r="37" spans="1:6" x14ac:dyDescent="0.25">
      <c r="A37" s="15" t="s">
        <v>24</v>
      </c>
    </row>
    <row r="39" spans="1:6" x14ac:dyDescent="0.25">
      <c r="A39" s="1" t="s">
        <v>25</v>
      </c>
    </row>
    <row r="40" spans="1:6" x14ac:dyDescent="0.25">
      <c r="A40" s="1" t="s">
        <v>26</v>
      </c>
      <c r="B40" s="1" t="s">
        <v>130</v>
      </c>
      <c r="C40" s="1" t="s">
        <v>130</v>
      </c>
    </row>
    <row r="41" spans="1:6" x14ac:dyDescent="0.25">
      <c r="A41" s="1" t="s">
        <v>27</v>
      </c>
      <c r="B41" s="1" t="s">
        <v>130</v>
      </c>
      <c r="C41" s="1" t="s">
        <v>130</v>
      </c>
    </row>
    <row r="43" spans="1:6" x14ac:dyDescent="0.25">
      <c r="A43" s="1" t="s">
        <v>28</v>
      </c>
    </row>
    <row r="44" spans="1:6" x14ac:dyDescent="0.25">
      <c r="A44" s="1" t="s">
        <v>29</v>
      </c>
      <c r="B44" s="21">
        <f>B12/B11*100</f>
        <v>101.25</v>
      </c>
      <c r="C44" s="21">
        <f>C12/C11*100</f>
        <v>91.699999999999989</v>
      </c>
      <c r="D44" s="21"/>
      <c r="E44" s="21"/>
      <c r="F44" s="21"/>
    </row>
    <row r="45" spans="1:6" x14ac:dyDescent="0.25">
      <c r="A45" s="1" t="s">
        <v>30</v>
      </c>
      <c r="B45" s="21">
        <f>B18/B17*100</f>
        <v>43.323668082716054</v>
      </c>
      <c r="C45" s="21">
        <f>C18/C17*100</f>
        <v>43.323668082716054</v>
      </c>
      <c r="D45" s="21">
        <f>D18/D17*100</f>
        <v>90.86434587272727</v>
      </c>
      <c r="E45" s="21">
        <f t="shared" ref="E45" si="1">E18/E17*100</f>
        <v>70.503472225982165</v>
      </c>
      <c r="F45" s="21">
        <f>F18/F17*100</f>
        <v>4.2673965533891369</v>
      </c>
    </row>
    <row r="46" spans="1:6" x14ac:dyDescent="0.25">
      <c r="A46" s="1" t="s">
        <v>31</v>
      </c>
      <c r="B46" s="21">
        <f>AVERAGE(B44:B45)</f>
        <v>72.28683404135802</v>
      </c>
      <c r="C46" s="21">
        <f>AVERAGE(C44:C45)</f>
        <v>67.511834041358014</v>
      </c>
      <c r="D46" s="21"/>
      <c r="E46" s="21"/>
      <c r="F46" s="21"/>
    </row>
    <row r="47" spans="1:6" x14ac:dyDescent="0.25">
      <c r="B47" s="21"/>
      <c r="C47" s="21"/>
      <c r="D47" s="21"/>
      <c r="E47" s="21"/>
      <c r="F47" s="21"/>
    </row>
    <row r="48" spans="1:6" x14ac:dyDescent="0.25">
      <c r="A48" s="1" t="s">
        <v>32</v>
      </c>
      <c r="B48" s="21"/>
      <c r="C48" s="21"/>
      <c r="D48" s="21"/>
      <c r="E48" s="21"/>
      <c r="F48" s="21"/>
    </row>
    <row r="49" spans="1:6" x14ac:dyDescent="0.25">
      <c r="A49" s="1" t="s">
        <v>33</v>
      </c>
      <c r="B49" s="21">
        <f>B12/B13*100</f>
        <v>101.25</v>
      </c>
      <c r="C49" s="21">
        <f>C12/C13*100</f>
        <v>83.36363636363636</v>
      </c>
      <c r="D49" s="21"/>
      <c r="E49" s="21"/>
      <c r="F49" s="21"/>
    </row>
    <row r="50" spans="1:6" x14ac:dyDescent="0.25">
      <c r="A50" s="1" t="s">
        <v>34</v>
      </c>
      <c r="B50" s="21">
        <f>B18/B19*100</f>
        <v>28.644403016003178</v>
      </c>
      <c r="C50" s="21">
        <f>C18/C19*100</f>
        <v>28.644403016003178</v>
      </c>
      <c r="D50" s="21">
        <f>D18/D19*100</f>
        <v>45.848981862385315</v>
      </c>
      <c r="E50" s="21">
        <f t="shared" ref="E50:F50" si="2">E18/E19*100</f>
        <v>58.306369550651759</v>
      </c>
      <c r="F50" s="21">
        <f t="shared" si="2"/>
        <v>2.5975486209430971</v>
      </c>
    </row>
    <row r="51" spans="1:6" x14ac:dyDescent="0.25">
      <c r="A51" s="1" t="s">
        <v>35</v>
      </c>
      <c r="B51" s="21">
        <f>(B49+B50)/2</f>
        <v>64.947201508001584</v>
      </c>
      <c r="C51" s="21">
        <f>(C49+C50)/2</f>
        <v>56.004019689819771</v>
      </c>
      <c r="D51" s="21"/>
      <c r="E51" s="21"/>
      <c r="F51" s="21"/>
    </row>
    <row r="52" spans="1:6" x14ac:dyDescent="0.25">
      <c r="B52" s="21"/>
      <c r="C52" s="21"/>
      <c r="D52" s="21"/>
      <c r="E52" s="21"/>
      <c r="F52" s="21"/>
    </row>
    <row r="53" spans="1:6" x14ac:dyDescent="0.25">
      <c r="A53" s="1" t="s">
        <v>109</v>
      </c>
      <c r="B53" s="21"/>
      <c r="C53" s="21"/>
      <c r="D53" s="21"/>
      <c r="E53" s="21"/>
      <c r="F53" s="21"/>
    </row>
    <row r="54" spans="1:6" x14ac:dyDescent="0.25">
      <c r="A54" s="1" t="s">
        <v>36</v>
      </c>
      <c r="B54" s="21">
        <f>B20/B18*100</f>
        <v>0</v>
      </c>
      <c r="C54" s="21">
        <f>C20/C18*100</f>
        <v>0</v>
      </c>
      <c r="D54" s="21">
        <f t="shared" ref="D54:F54" si="3">D20/D18*100</f>
        <v>0</v>
      </c>
      <c r="E54" s="21">
        <f t="shared" si="3"/>
        <v>0</v>
      </c>
      <c r="F54" s="21">
        <f t="shared" si="3"/>
        <v>0</v>
      </c>
    </row>
    <row r="55" spans="1:6" x14ac:dyDescent="0.25">
      <c r="B55" s="21"/>
      <c r="C55" s="21"/>
      <c r="D55" s="21"/>
      <c r="E55" s="21"/>
      <c r="F55" s="21"/>
    </row>
    <row r="56" spans="1:6" x14ac:dyDescent="0.25">
      <c r="A56" s="1" t="s">
        <v>37</v>
      </c>
      <c r="B56" s="21"/>
      <c r="C56" s="21"/>
      <c r="D56" s="21"/>
      <c r="E56" s="21"/>
      <c r="F56" s="21"/>
    </row>
    <row r="57" spans="1:6" x14ac:dyDescent="0.25">
      <c r="A57" s="1" t="s">
        <v>38</v>
      </c>
      <c r="B57" s="21">
        <f>((B12/B10)-1)*100</f>
        <v>26.5625</v>
      </c>
      <c r="C57" s="21">
        <f>((C12/C10)-1)*100</f>
        <v>-4.4791666666666563</v>
      </c>
      <c r="D57" s="21"/>
      <c r="E57" s="21"/>
      <c r="F57" s="21"/>
    </row>
    <row r="58" spans="1:6" x14ac:dyDescent="0.25">
      <c r="A58" s="1" t="s">
        <v>39</v>
      </c>
      <c r="B58" s="21">
        <f>((B33/B32)-1)*100</f>
        <v>139.03990629270234</v>
      </c>
      <c r="C58" s="21">
        <f>((C33/C32)-1)*100</f>
        <v>139.03990629270234</v>
      </c>
      <c r="D58" s="21"/>
      <c r="E58" s="21"/>
      <c r="F58" s="21"/>
    </row>
    <row r="59" spans="1:6" x14ac:dyDescent="0.25">
      <c r="A59" s="1" t="s">
        <v>40</v>
      </c>
      <c r="B59" s="21">
        <f>((B35/B34)-1)*100</f>
        <v>88.871037070777163</v>
      </c>
      <c r="C59" s="21">
        <f>((C35/C34)-1)*100</f>
        <v>150.24897496291629</v>
      </c>
      <c r="D59" s="21"/>
      <c r="E59" s="21"/>
      <c r="F59" s="21"/>
    </row>
    <row r="61" spans="1:6" x14ac:dyDescent="0.25">
      <c r="A61" s="1" t="s">
        <v>41</v>
      </c>
    </row>
    <row r="62" spans="1:6" x14ac:dyDescent="0.25">
      <c r="A62" s="1" t="s">
        <v>111</v>
      </c>
      <c r="B62" s="1">
        <f>B17/(C11*6)</f>
        <v>198793.91399999999</v>
      </c>
    </row>
    <row r="63" spans="1:6" x14ac:dyDescent="0.25">
      <c r="A63" s="1" t="s">
        <v>112</v>
      </c>
      <c r="B63" s="1">
        <f>B18/(C12*6)</f>
        <v>93920.191352235546</v>
      </c>
    </row>
    <row r="64" spans="1:6" x14ac:dyDescent="0.25">
      <c r="A64" s="1" t="s">
        <v>42</v>
      </c>
      <c r="B64" s="21">
        <f>(B62/B63)*B46</f>
        <v>153.00418858663184</v>
      </c>
    </row>
    <row r="65" spans="1:8" x14ac:dyDescent="0.25">
      <c r="A65" s="1" t="s">
        <v>115</v>
      </c>
      <c r="B65" s="1">
        <f>B17/C11</f>
        <v>1192763.4839999999</v>
      </c>
    </row>
    <row r="66" spans="1:8" x14ac:dyDescent="0.25">
      <c r="A66" s="1" t="s">
        <v>116</v>
      </c>
      <c r="B66" s="1">
        <f>B18/C12</f>
        <v>563521.14811341325</v>
      </c>
    </row>
    <row r="68" spans="1:8" x14ac:dyDescent="0.25">
      <c r="A68" s="1" t="s">
        <v>43</v>
      </c>
    </row>
    <row r="69" spans="1:8" x14ac:dyDescent="0.25">
      <c r="A69" s="1" t="s">
        <v>44</v>
      </c>
      <c r="B69" s="21">
        <f>(B24/B23)*100</f>
        <v>22.587730729020205</v>
      </c>
      <c r="H69" s="18"/>
    </row>
    <row r="70" spans="1:8" x14ac:dyDescent="0.25">
      <c r="A70" s="1" t="s">
        <v>45</v>
      </c>
      <c r="B70" s="21">
        <f>(B18/B24)*100</f>
        <v>191.80177328329307</v>
      </c>
      <c r="H70" s="18"/>
    </row>
    <row r="71" spans="1:8" ht="15.75" thickBot="1" x14ac:dyDescent="0.3">
      <c r="A71" s="19"/>
      <c r="B71" s="19"/>
      <c r="C71" s="19"/>
      <c r="D71" s="19"/>
      <c r="E71" s="19"/>
      <c r="F71" s="19"/>
    </row>
    <row r="72" spans="1:8" ht="15.75" thickTop="1" x14ac:dyDescent="0.25"/>
    <row r="73" spans="1:8" x14ac:dyDescent="0.25">
      <c r="A73" s="20" t="s">
        <v>46</v>
      </c>
    </row>
    <row r="74" spans="1:8" x14ac:dyDescent="0.25">
      <c r="A74" s="20" t="s">
        <v>110</v>
      </c>
    </row>
    <row r="75" spans="1:8" x14ac:dyDescent="0.25">
      <c r="A75" s="20" t="s">
        <v>47</v>
      </c>
    </row>
    <row r="76" spans="1:8" x14ac:dyDescent="0.25">
      <c r="A76" s="11" t="s">
        <v>119</v>
      </c>
    </row>
    <row r="77" spans="1:8" x14ac:dyDescent="0.25">
      <c r="A77" s="3" t="s">
        <v>120</v>
      </c>
    </row>
    <row r="78" spans="1:8" x14ac:dyDescent="0.25">
      <c r="A78" s="12" t="s">
        <v>121</v>
      </c>
    </row>
    <row r="79" spans="1:8" x14ac:dyDescent="0.25">
      <c r="A79" s="12" t="s">
        <v>122</v>
      </c>
    </row>
    <row r="80" spans="1:8" x14ac:dyDescent="0.25">
      <c r="A80" s="12" t="s">
        <v>123</v>
      </c>
    </row>
  </sheetData>
  <mergeCells count="5">
    <mergeCell ref="A2:F2"/>
    <mergeCell ref="A4:A5"/>
    <mergeCell ref="B4:B5"/>
    <mergeCell ref="C4:C5"/>
    <mergeCell ref="D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topLeftCell="A25" workbookViewId="0">
      <selection activeCell="B17" sqref="B17"/>
    </sheetView>
  </sheetViews>
  <sheetFormatPr baseColWidth="10" defaultRowHeight="15" x14ac:dyDescent="0.25"/>
  <cols>
    <col min="1" max="1" width="55.140625" style="1" customWidth="1"/>
    <col min="2" max="2" width="15.140625" style="1" bestFit="1" customWidth="1"/>
    <col min="3" max="3" width="13.85546875" style="1" customWidth="1"/>
    <col min="4" max="4" width="20.7109375" style="1" customWidth="1"/>
    <col min="5" max="5" width="13.7109375" style="1" customWidth="1"/>
    <col min="6" max="6" width="15.140625" style="1" bestFit="1" customWidth="1"/>
    <col min="7" max="7" width="13.7109375" style="1" bestFit="1" customWidth="1"/>
    <col min="8" max="16384" width="11.42578125" style="1"/>
  </cols>
  <sheetData>
    <row r="2" spans="1:6" ht="15.75" x14ac:dyDescent="0.25">
      <c r="A2" s="29" t="s">
        <v>128</v>
      </c>
      <c r="B2" s="29"/>
      <c r="C2" s="29"/>
      <c r="D2" s="29"/>
      <c r="E2" s="29"/>
      <c r="F2" s="29"/>
    </row>
    <row r="4" spans="1:6" ht="15" customHeight="1" x14ac:dyDescent="0.25">
      <c r="A4" s="30" t="s">
        <v>0</v>
      </c>
      <c r="B4" s="32" t="s">
        <v>1</v>
      </c>
      <c r="C4" s="32" t="s">
        <v>58</v>
      </c>
      <c r="D4" s="34" t="s">
        <v>2</v>
      </c>
      <c r="E4" s="34"/>
      <c r="F4" s="34"/>
    </row>
    <row r="5" spans="1:6" ht="15.75" thickBot="1" x14ac:dyDescent="0.3">
      <c r="A5" s="31"/>
      <c r="B5" s="33"/>
      <c r="C5" s="33"/>
      <c r="D5" s="13" t="s">
        <v>3</v>
      </c>
      <c r="E5" s="14" t="s">
        <v>4</v>
      </c>
      <c r="F5" s="14" t="s">
        <v>5</v>
      </c>
    </row>
    <row r="6" spans="1:6" ht="15.75" thickTop="1" x14ac:dyDescent="0.25"/>
    <row r="7" spans="1:6" x14ac:dyDescent="0.25">
      <c r="A7" s="15" t="s">
        <v>6</v>
      </c>
    </row>
    <row r="9" spans="1:6" x14ac:dyDescent="0.25">
      <c r="A9" s="1" t="s">
        <v>7</v>
      </c>
    </row>
    <row r="10" spans="1:6" x14ac:dyDescent="0.25">
      <c r="A10" s="16" t="s">
        <v>89</v>
      </c>
      <c r="B10" s="1">
        <f>'I Trimestre'!B10</f>
        <v>320</v>
      </c>
      <c r="C10" s="1">
        <f>('I Trimestre'!C10+'II Trimestre'!C10+'III Trimestre'!C10)/3</f>
        <v>320</v>
      </c>
    </row>
    <row r="11" spans="1:6" x14ac:dyDescent="0.25">
      <c r="A11" s="16" t="s">
        <v>90</v>
      </c>
      <c r="B11" s="1">
        <f>'I Trimestre'!B11</f>
        <v>400</v>
      </c>
      <c r="C11" s="1">
        <f>('I Trimestre'!C11+'II Trimestre'!C11+'III Trimestre'!C11)/3</f>
        <v>355.5555555555556</v>
      </c>
    </row>
    <row r="12" spans="1:6" x14ac:dyDescent="0.25">
      <c r="A12" s="16" t="s">
        <v>91</v>
      </c>
      <c r="B12" s="1">
        <f>'I Trimestre'!B12</f>
        <v>405</v>
      </c>
      <c r="C12" s="1">
        <f>('I Trimestre'!C12+'II Trimestre'!C12+'III Trimestre'!C12)/3</f>
        <v>313.88888888888891</v>
      </c>
    </row>
    <row r="13" spans="1:6" x14ac:dyDescent="0.25">
      <c r="A13" s="16" t="s">
        <v>11</v>
      </c>
      <c r="B13" s="1">
        <f>'I Trimestre'!B13</f>
        <v>400</v>
      </c>
      <c r="C13" s="1">
        <f>('I Trimestre'!C13+'II Trimestre'!C13+'III Trimestre'!C13)/3</f>
        <v>366.66666666666669</v>
      </c>
    </row>
    <row r="15" spans="1:6" x14ac:dyDescent="0.25">
      <c r="A15" s="17" t="s">
        <v>12</v>
      </c>
    </row>
    <row r="16" spans="1:6" x14ac:dyDescent="0.25">
      <c r="A16" s="16" t="s">
        <v>89</v>
      </c>
      <c r="B16" s="1">
        <f>'I Trimestre'!B16+'II Trimestre'!B16+'III Trimestre'!B16</f>
        <v>103154330.7375003</v>
      </c>
      <c r="C16" s="1">
        <v>11461592.304166701</v>
      </c>
    </row>
    <row r="17" spans="1:8" x14ac:dyDescent="0.25">
      <c r="A17" s="16" t="s">
        <v>90</v>
      </c>
      <c r="B17" s="1">
        <f>'I Trimestre'!B17+'II Trimestre'!B17+'III Trimestre'!B17</f>
        <v>534337828</v>
      </c>
      <c r="C17" s="1">
        <f>B17/9</f>
        <v>59370869.777777776</v>
      </c>
      <c r="D17" s="1">
        <f>'I Trimestre'!D17+'II Trimestre'!D17+'III Trimestre'!D17</f>
        <v>82000000</v>
      </c>
      <c r="E17" s="1">
        <f>'I Trimestre'!E17+'II Trimestre'!E17+'III Trimestre'!E17</f>
        <v>176531760</v>
      </c>
      <c r="F17" s="1">
        <f>'I Trimestre'!F17+'II Trimestre'!F17+'III Trimestre'!F17</f>
        <v>275806068</v>
      </c>
    </row>
    <row r="18" spans="1:8" x14ac:dyDescent="0.25">
      <c r="A18" s="16" t="s">
        <v>91</v>
      </c>
      <c r="B18" s="1">
        <f>'I Trimestre'!B18+'II Trimestre'!B18+'III Trimestre'!B18</f>
        <v>236744719.81</v>
      </c>
      <c r="C18" s="1">
        <f>B18/9</f>
        <v>26304968.86777778</v>
      </c>
      <c r="D18" s="1">
        <f>'I Trimestre'!D18+'II Trimestre'!D18+'III Trimestre'!D18</f>
        <v>79958539.099999994</v>
      </c>
      <c r="E18" s="1">
        <f>'I Trimestre'!E18+'II Trimestre'!E18+'III Trimestre'!E18</f>
        <v>149102474.26999998</v>
      </c>
      <c r="F18" s="1">
        <f>'I Trimestre'!F18+'II Trimestre'!F18+'III Trimestre'!F18</f>
        <v>7683706.4400000004</v>
      </c>
    </row>
    <row r="19" spans="1:8" x14ac:dyDescent="0.25">
      <c r="A19" s="16" t="s">
        <v>11</v>
      </c>
      <c r="B19" s="1">
        <f>SUM(D19:F19)</f>
        <v>561337828</v>
      </c>
      <c r="C19" s="1">
        <f>B19/9</f>
        <v>62370869.777777776</v>
      </c>
      <c r="D19" s="1">
        <v>109000000</v>
      </c>
      <c r="E19" s="1">
        <v>176531760</v>
      </c>
      <c r="F19" s="1">
        <v>275806068</v>
      </c>
    </row>
    <row r="20" spans="1:8" x14ac:dyDescent="0.25">
      <c r="A20" s="16" t="s">
        <v>92</v>
      </c>
    </row>
    <row r="22" spans="1:8" x14ac:dyDescent="0.25">
      <c r="A22" s="16" t="s">
        <v>14</v>
      </c>
    </row>
    <row r="23" spans="1:8" x14ac:dyDescent="0.25">
      <c r="A23" s="16" t="s">
        <v>90</v>
      </c>
      <c r="B23" s="1">
        <f>B17</f>
        <v>534337828</v>
      </c>
      <c r="H23" s="18"/>
    </row>
    <row r="24" spans="1:8" x14ac:dyDescent="0.25">
      <c r="A24" s="16" t="s">
        <v>91</v>
      </c>
      <c r="B24" s="1">
        <f>'I Trimestre'!B24+'II Trimestre'!B24+'III Trimestre'!B24</f>
        <v>171740038</v>
      </c>
      <c r="H24" s="18"/>
    </row>
    <row r="26" spans="1:8" x14ac:dyDescent="0.25">
      <c r="A26" s="1" t="s">
        <v>15</v>
      </c>
    </row>
    <row r="27" spans="1:8" x14ac:dyDescent="0.25">
      <c r="A27" s="1" t="s">
        <v>93</v>
      </c>
      <c r="B27" s="21">
        <v>1.3931300646666669</v>
      </c>
      <c r="C27" s="21">
        <v>1.3931300646666669</v>
      </c>
      <c r="D27" s="21">
        <v>1.3931300646666669</v>
      </c>
      <c r="E27" s="21">
        <v>1.3931300646666669</v>
      </c>
      <c r="F27" s="21">
        <v>1.3931300646666669</v>
      </c>
    </row>
    <row r="28" spans="1:8" x14ac:dyDescent="0.25">
      <c r="A28" s="1" t="s">
        <v>94</v>
      </c>
      <c r="B28" s="21">
        <v>1.4617491794222224</v>
      </c>
      <c r="C28" s="21">
        <v>1.4617491794222224</v>
      </c>
      <c r="D28" s="21">
        <v>1.4617491794222224</v>
      </c>
      <c r="E28" s="21">
        <v>1.4617491794222224</v>
      </c>
      <c r="F28" s="21">
        <v>1.4617491794222224</v>
      </c>
    </row>
    <row r="29" spans="1:8" x14ac:dyDescent="0.25">
      <c r="A29" s="1" t="s">
        <v>18</v>
      </c>
    </row>
    <row r="31" spans="1:8" x14ac:dyDescent="0.25">
      <c r="A31" s="1" t="s">
        <v>19</v>
      </c>
    </row>
    <row r="32" spans="1:8" x14ac:dyDescent="0.25">
      <c r="A32" s="1" t="s">
        <v>95</v>
      </c>
      <c r="B32" s="1">
        <f>B16/B27</f>
        <v>74045010.838368461</v>
      </c>
      <c r="C32" s="1">
        <f>C16/C27</f>
        <v>8227223.4264853848</v>
      </c>
    </row>
    <row r="33" spans="1:6" x14ac:dyDescent="0.25">
      <c r="A33" s="1" t="s">
        <v>96</v>
      </c>
      <c r="B33" s="1">
        <f>B18/B28</f>
        <v>161959878.71433374</v>
      </c>
      <c r="C33" s="1">
        <f>C18/C28</f>
        <v>17995542.079370417</v>
      </c>
      <c r="D33" s="1">
        <f>D18/D28</f>
        <v>54700587.642268948</v>
      </c>
      <c r="E33" s="1">
        <f>E18/E28</f>
        <v>102002776.10481362</v>
      </c>
      <c r="F33" s="1">
        <f t="shared" ref="F33" si="0">F18/F28</f>
        <v>5256514.9672511509</v>
      </c>
    </row>
    <row r="34" spans="1:6" x14ac:dyDescent="0.25">
      <c r="A34" s="1" t="s">
        <v>97</v>
      </c>
      <c r="B34" s="1">
        <f>B32/B10</f>
        <v>231390.65886990144</v>
      </c>
      <c r="C34" s="1">
        <f>B32/C10</f>
        <v>231390.65886990144</v>
      </c>
    </row>
    <row r="35" spans="1:6" x14ac:dyDescent="0.25">
      <c r="A35" s="1" t="s">
        <v>98</v>
      </c>
      <c r="B35" s="1">
        <f>B33/B12</f>
        <v>399900.93509712035</v>
      </c>
      <c r="C35" s="1">
        <f>B33/C12</f>
        <v>515978.374665134</v>
      </c>
    </row>
    <row r="37" spans="1:6" x14ac:dyDescent="0.25">
      <c r="A37" s="15" t="s">
        <v>24</v>
      </c>
    </row>
    <row r="39" spans="1:6" x14ac:dyDescent="0.25">
      <c r="A39" s="1" t="s">
        <v>25</v>
      </c>
    </row>
    <row r="40" spans="1:6" x14ac:dyDescent="0.25">
      <c r="A40" s="1" t="s">
        <v>26</v>
      </c>
      <c r="B40" s="1" t="s">
        <v>130</v>
      </c>
      <c r="C40" s="1" t="s">
        <v>130</v>
      </c>
    </row>
    <row r="41" spans="1:6" x14ac:dyDescent="0.25">
      <c r="A41" s="1" t="s">
        <v>27</v>
      </c>
      <c r="B41" s="1" t="s">
        <v>130</v>
      </c>
      <c r="C41" s="1" t="s">
        <v>130</v>
      </c>
    </row>
    <row r="43" spans="1:6" x14ac:dyDescent="0.25">
      <c r="A43" s="1" t="s">
        <v>28</v>
      </c>
    </row>
    <row r="44" spans="1:6" x14ac:dyDescent="0.25">
      <c r="A44" s="1" t="s">
        <v>29</v>
      </c>
      <c r="B44" s="21">
        <f>B12/B11*100</f>
        <v>101.25</v>
      </c>
      <c r="C44" s="21">
        <f>C12/C11*100</f>
        <v>88.28125</v>
      </c>
      <c r="D44" s="21"/>
      <c r="E44" s="21"/>
      <c r="F44" s="21"/>
    </row>
    <row r="45" spans="1:6" x14ac:dyDescent="0.25">
      <c r="A45" s="1" t="s">
        <v>30</v>
      </c>
      <c r="B45" s="21">
        <f>B18/B17*100</f>
        <v>44.30618747246919</v>
      </c>
      <c r="C45" s="21">
        <f>C18/C17*100</f>
        <v>44.306187472469198</v>
      </c>
      <c r="D45" s="21">
        <f>D18/D17*100</f>
        <v>97.510413536585361</v>
      </c>
      <c r="E45" s="21">
        <f t="shared" ref="E45" si="1">E18/E17*100</f>
        <v>84.462124135622958</v>
      </c>
      <c r="F45" s="21">
        <f>F18/F17*100</f>
        <v>2.7859091338048447</v>
      </c>
    </row>
    <row r="46" spans="1:6" x14ac:dyDescent="0.25">
      <c r="A46" s="1" t="s">
        <v>31</v>
      </c>
      <c r="B46" s="21">
        <f>AVERAGE(B44:B45)</f>
        <v>72.778093736234595</v>
      </c>
      <c r="C46" s="21">
        <f>AVERAGE(C44:C45)</f>
        <v>66.293718736234595</v>
      </c>
      <c r="D46" s="21"/>
      <c r="E46" s="21"/>
      <c r="F46" s="21"/>
    </row>
    <row r="47" spans="1:6" x14ac:dyDescent="0.25">
      <c r="B47" s="21"/>
      <c r="C47" s="21"/>
      <c r="D47" s="21"/>
      <c r="E47" s="21"/>
      <c r="F47" s="21"/>
    </row>
    <row r="48" spans="1:6" x14ac:dyDescent="0.25">
      <c r="A48" s="1" t="s">
        <v>32</v>
      </c>
      <c r="B48" s="21"/>
      <c r="C48" s="21"/>
      <c r="D48" s="21"/>
      <c r="E48" s="21"/>
      <c r="F48" s="21"/>
    </row>
    <row r="49" spans="1:6" x14ac:dyDescent="0.25">
      <c r="A49" s="1" t="s">
        <v>33</v>
      </c>
      <c r="B49" s="21">
        <f>B12/B13*100</f>
        <v>101.25</v>
      </c>
      <c r="C49" s="21">
        <f>C12/C13*100</f>
        <v>85.606060606060609</v>
      </c>
      <c r="D49" s="21"/>
      <c r="E49" s="21"/>
      <c r="F49" s="21"/>
    </row>
    <row r="50" spans="1:6" x14ac:dyDescent="0.25">
      <c r="A50" s="1" t="s">
        <v>34</v>
      </c>
      <c r="B50" s="21">
        <f>B18/B19*100</f>
        <v>42.175087443064676</v>
      </c>
      <c r="C50" s="21">
        <f>C18/C19*100</f>
        <v>42.175087443064683</v>
      </c>
      <c r="D50" s="21">
        <f>D18/D19*100</f>
        <v>73.356457889908256</v>
      </c>
      <c r="E50" s="21">
        <f t="shared" ref="E50:F50" si="2">E18/E19*100</f>
        <v>84.462124135622958</v>
      </c>
      <c r="F50" s="21">
        <f t="shared" si="2"/>
        <v>2.7859091338048447</v>
      </c>
    </row>
    <row r="51" spans="1:6" x14ac:dyDescent="0.25">
      <c r="A51" s="1" t="s">
        <v>35</v>
      </c>
      <c r="B51" s="21">
        <f>(B49+B50)/2</f>
        <v>71.712543721532342</v>
      </c>
      <c r="C51" s="21">
        <f>(C49+C50)/2</f>
        <v>63.890574024562646</v>
      </c>
      <c r="D51" s="21"/>
      <c r="E51" s="21"/>
      <c r="F51" s="21"/>
    </row>
    <row r="52" spans="1:6" x14ac:dyDescent="0.25">
      <c r="B52" s="21"/>
      <c r="C52" s="21"/>
      <c r="D52" s="21"/>
      <c r="E52" s="21"/>
      <c r="F52" s="21"/>
    </row>
    <row r="53" spans="1:6" x14ac:dyDescent="0.25">
      <c r="A53" s="1" t="s">
        <v>109</v>
      </c>
      <c r="B53" s="21"/>
      <c r="C53" s="21"/>
      <c r="D53" s="21"/>
      <c r="E53" s="21"/>
      <c r="F53" s="21"/>
    </row>
    <row r="54" spans="1:6" x14ac:dyDescent="0.25">
      <c r="A54" s="1" t="s">
        <v>36</v>
      </c>
      <c r="B54" s="21">
        <f>B20/B18*100</f>
        <v>0</v>
      </c>
      <c r="C54" s="21">
        <f>C20/C18*100</f>
        <v>0</v>
      </c>
      <c r="D54" s="21">
        <f t="shared" ref="D54:F54" si="3">D20/D18*100</f>
        <v>0</v>
      </c>
      <c r="E54" s="21">
        <f t="shared" si="3"/>
        <v>0</v>
      </c>
      <c r="F54" s="21">
        <f t="shared" si="3"/>
        <v>0</v>
      </c>
    </row>
    <row r="55" spans="1:6" x14ac:dyDescent="0.25">
      <c r="B55" s="21"/>
      <c r="C55" s="21"/>
      <c r="D55" s="21"/>
      <c r="E55" s="21"/>
      <c r="F55" s="21"/>
    </row>
    <row r="56" spans="1:6" x14ac:dyDescent="0.25">
      <c r="A56" s="1" t="s">
        <v>37</v>
      </c>
      <c r="B56" s="21"/>
      <c r="C56" s="21"/>
      <c r="D56" s="21"/>
      <c r="E56" s="21"/>
      <c r="F56" s="21"/>
    </row>
    <row r="57" spans="1:6" x14ac:dyDescent="0.25">
      <c r="A57" s="1" t="s">
        <v>38</v>
      </c>
      <c r="B57" s="21">
        <f>((B12/B10)-1)*100</f>
        <v>26.5625</v>
      </c>
      <c r="C57" s="21">
        <f>((C12/C10)-1)*100</f>
        <v>-1.9097222222222099</v>
      </c>
      <c r="D57" s="21"/>
      <c r="E57" s="21"/>
      <c r="F57" s="21"/>
    </row>
    <row r="58" spans="1:6" x14ac:dyDescent="0.25">
      <c r="A58" s="1" t="s">
        <v>39</v>
      </c>
      <c r="B58" s="21">
        <f>((B33/B32)-1)*100</f>
        <v>118.73165643512849</v>
      </c>
      <c r="C58" s="21">
        <f>((C33/C32)-1)*100</f>
        <v>118.73165643512849</v>
      </c>
      <c r="D58" s="21"/>
      <c r="E58" s="21"/>
      <c r="F58" s="21"/>
    </row>
    <row r="59" spans="1:6" x14ac:dyDescent="0.25">
      <c r="A59" s="1" t="s">
        <v>40</v>
      </c>
      <c r="B59" s="21">
        <f>((B35/B34)-1)*100</f>
        <v>72.825012491953373</v>
      </c>
      <c r="C59" s="21">
        <f>((C35/C34)-1)*100</f>
        <v>122.99014886129909</v>
      </c>
      <c r="D59" s="21"/>
      <c r="E59" s="21"/>
      <c r="F59" s="21"/>
    </row>
    <row r="61" spans="1:6" x14ac:dyDescent="0.25">
      <c r="A61" s="1" t="s">
        <v>41</v>
      </c>
    </row>
    <row r="62" spans="1:6" x14ac:dyDescent="0.25">
      <c r="A62" s="1" t="s">
        <v>111</v>
      </c>
      <c r="B62" s="1">
        <f>B17/(C11*9)</f>
        <v>166980.57124999998</v>
      </c>
    </row>
    <row r="63" spans="1:6" x14ac:dyDescent="0.25">
      <c r="A63" s="1" t="s">
        <v>112</v>
      </c>
      <c r="B63" s="1">
        <f>B18/(C12*9)</f>
        <v>83803.440640707966</v>
      </c>
    </row>
    <row r="64" spans="1:6" x14ac:dyDescent="0.25">
      <c r="A64" s="1" t="s">
        <v>42</v>
      </c>
      <c r="B64" s="21">
        <f>(B62/B63)*B46</f>
        <v>145.01227603129391</v>
      </c>
    </row>
    <row r="65" spans="1:8" x14ac:dyDescent="0.25">
      <c r="A65" s="1" t="s">
        <v>117</v>
      </c>
      <c r="B65" s="1">
        <f>B17/C11</f>
        <v>1502825.1412499999</v>
      </c>
    </row>
    <row r="66" spans="1:8" x14ac:dyDescent="0.25">
      <c r="A66" s="1" t="s">
        <v>118</v>
      </c>
      <c r="B66" s="1">
        <f>B18/C12</f>
        <v>754230.96576637158</v>
      </c>
    </row>
    <row r="68" spans="1:8" x14ac:dyDescent="0.25">
      <c r="A68" s="1" t="s">
        <v>43</v>
      </c>
    </row>
    <row r="69" spans="1:8" x14ac:dyDescent="0.25">
      <c r="A69" s="1" t="s">
        <v>44</v>
      </c>
      <c r="B69" s="21">
        <f>(B24/B23)*100</f>
        <v>32.140722404553394</v>
      </c>
      <c r="H69" s="18"/>
    </row>
    <row r="70" spans="1:8" x14ac:dyDescent="0.25">
      <c r="A70" s="1" t="s">
        <v>45</v>
      </c>
      <c r="B70" s="21">
        <f>(B18/B24)*100</f>
        <v>137.85062735924166</v>
      </c>
      <c r="H70" s="18"/>
    </row>
    <row r="71" spans="1:8" ht="15.75" thickBot="1" x14ac:dyDescent="0.3">
      <c r="A71" s="19"/>
      <c r="B71" s="19"/>
      <c r="C71" s="19"/>
      <c r="D71" s="19"/>
      <c r="E71" s="19"/>
      <c r="F71" s="19"/>
    </row>
    <row r="72" spans="1:8" ht="15.75" thickTop="1" x14ac:dyDescent="0.25"/>
    <row r="73" spans="1:8" x14ac:dyDescent="0.25">
      <c r="A73" s="20" t="s">
        <v>46</v>
      </c>
    </row>
    <row r="74" spans="1:8" x14ac:dyDescent="0.25">
      <c r="A74" s="20" t="s">
        <v>110</v>
      </c>
    </row>
    <row r="75" spans="1:8" x14ac:dyDescent="0.25">
      <c r="A75" s="20" t="s">
        <v>47</v>
      </c>
    </row>
    <row r="76" spans="1:8" x14ac:dyDescent="0.25">
      <c r="A76" s="11" t="s">
        <v>119</v>
      </c>
    </row>
    <row r="77" spans="1:8" x14ac:dyDescent="0.25">
      <c r="A77" s="3" t="s">
        <v>120</v>
      </c>
    </row>
    <row r="78" spans="1:8" x14ac:dyDescent="0.25">
      <c r="A78" s="12" t="s">
        <v>121</v>
      </c>
    </row>
    <row r="79" spans="1:8" x14ac:dyDescent="0.25">
      <c r="A79" s="12" t="s">
        <v>122</v>
      </c>
    </row>
    <row r="80" spans="1:8" x14ac:dyDescent="0.25">
      <c r="A80" s="12" t="s">
        <v>123</v>
      </c>
    </row>
  </sheetData>
  <mergeCells count="5">
    <mergeCell ref="A2:F2"/>
    <mergeCell ref="A4:A5"/>
    <mergeCell ref="B4:B5"/>
    <mergeCell ref="C4:C5"/>
    <mergeCell ref="D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topLeftCell="A106" zoomScaleNormal="100" workbookViewId="0">
      <selection activeCell="E122" sqref="E122"/>
    </sheetView>
  </sheetViews>
  <sheetFormatPr baseColWidth="10" defaultRowHeight="15" x14ac:dyDescent="0.25"/>
  <cols>
    <col min="1" max="1" width="55.140625" style="1" customWidth="1"/>
    <col min="2" max="2" width="15.140625" style="1" bestFit="1" customWidth="1"/>
    <col min="3" max="3" width="13.85546875" style="1" customWidth="1"/>
    <col min="4" max="4" width="20.7109375" style="1" customWidth="1"/>
    <col min="5" max="5" width="13.7109375" style="1" customWidth="1"/>
    <col min="6" max="6" width="15.140625" style="1" bestFit="1" customWidth="1"/>
    <col min="7" max="7" width="13.7109375" style="1" bestFit="1" customWidth="1"/>
    <col min="8" max="16384" width="11.42578125" style="1"/>
  </cols>
  <sheetData>
    <row r="2" spans="1:6" ht="15.75" x14ac:dyDescent="0.25">
      <c r="A2" s="29" t="s">
        <v>129</v>
      </c>
      <c r="B2" s="29"/>
      <c r="C2" s="29"/>
      <c r="D2" s="29"/>
      <c r="E2" s="29"/>
      <c r="F2" s="29"/>
    </row>
    <row r="4" spans="1:6" ht="15" customHeight="1" x14ac:dyDescent="0.25">
      <c r="A4" s="30" t="s">
        <v>0</v>
      </c>
      <c r="B4" s="32" t="s">
        <v>1</v>
      </c>
      <c r="C4" s="32" t="s">
        <v>58</v>
      </c>
      <c r="D4" s="34" t="s">
        <v>2</v>
      </c>
      <c r="E4" s="34"/>
      <c r="F4" s="34"/>
    </row>
    <row r="5" spans="1:6" ht="15.75" thickBot="1" x14ac:dyDescent="0.3">
      <c r="A5" s="31"/>
      <c r="B5" s="33"/>
      <c r="C5" s="33"/>
      <c r="D5" s="13" t="s">
        <v>3</v>
      </c>
      <c r="E5" s="14" t="s">
        <v>4</v>
      </c>
      <c r="F5" s="14" t="s">
        <v>5</v>
      </c>
    </row>
    <row r="6" spans="1:6" ht="15.75" thickTop="1" x14ac:dyDescent="0.25"/>
    <row r="7" spans="1:6" x14ac:dyDescent="0.25">
      <c r="A7" s="15" t="s">
        <v>6</v>
      </c>
    </row>
    <row r="9" spans="1:6" x14ac:dyDescent="0.25">
      <c r="A9" s="1" t="s">
        <v>7</v>
      </c>
    </row>
    <row r="10" spans="1:6" x14ac:dyDescent="0.25">
      <c r="A10" s="16" t="s">
        <v>99</v>
      </c>
      <c r="B10" s="1">
        <f>'I Trimestre'!B10</f>
        <v>320</v>
      </c>
      <c r="C10" s="1">
        <f>('I Trimestre'!C10+'II Trimestre'!C10+'III Trimestre'!C10+'IV Trimestre'!C10)/4</f>
        <v>320</v>
      </c>
    </row>
    <row r="11" spans="1:6" x14ac:dyDescent="0.25">
      <c r="A11" s="16" t="s">
        <v>100</v>
      </c>
      <c r="B11" s="1">
        <f>'I Trimestre'!B11</f>
        <v>400</v>
      </c>
      <c r="C11" s="1">
        <f>('I Trimestre'!C11+'II Trimestre'!C11+'III Trimestre'!C11+'IV Trimestre'!C11)/4</f>
        <v>366.66666666666669</v>
      </c>
    </row>
    <row r="12" spans="1:6" x14ac:dyDescent="0.25">
      <c r="A12" s="16" t="s">
        <v>101</v>
      </c>
      <c r="B12" s="1">
        <f>'I Trimestre'!B12</f>
        <v>405</v>
      </c>
      <c r="C12" s="1">
        <f>('I Trimestre'!C12+'II Trimestre'!C12+'III Trimestre'!C12+'IV Trimestre'!C12)/4</f>
        <v>315.41666666666669</v>
      </c>
    </row>
    <row r="13" spans="1:6" x14ac:dyDescent="0.25">
      <c r="A13" s="16" t="s">
        <v>11</v>
      </c>
      <c r="B13" s="1">
        <f>'I Trimestre'!B13</f>
        <v>400</v>
      </c>
      <c r="C13" s="1">
        <f>('I Trimestre'!C13+'II Trimestre'!C13+'III Trimestre'!C13+'IV Trimestre'!C13)/4</f>
        <v>366.66666666666669</v>
      </c>
    </row>
    <row r="15" spans="1:6" x14ac:dyDescent="0.25">
      <c r="A15" s="17" t="s">
        <v>12</v>
      </c>
    </row>
    <row r="16" spans="1:6" x14ac:dyDescent="0.25">
      <c r="A16" s="16" t="s">
        <v>99</v>
      </c>
      <c r="B16" s="1">
        <f>'I Trimestre'!B16+'II Trimestre'!B16+'III Trimestre'!B16+'IV Trimestre'!B16</f>
        <v>137539107.65000039</v>
      </c>
      <c r="C16" s="1">
        <v>11461592.304166701</v>
      </c>
    </row>
    <row r="17" spans="1:8" x14ac:dyDescent="0.25">
      <c r="A17" s="16" t="s">
        <v>100</v>
      </c>
      <c r="B17" s="1">
        <f>SUM(D17:F17)</f>
        <v>561337828</v>
      </c>
      <c r="C17" s="1">
        <f>B17/12</f>
        <v>46778152.333333336</v>
      </c>
      <c r="D17" s="1">
        <f>'I Trimestre'!D17+'II Trimestre'!D17+'III Trimestre'!D17+'IV Trimestre'!D17</f>
        <v>109000000</v>
      </c>
      <c r="E17" s="1">
        <f>'I Trimestre'!E17+'II Trimestre'!E17+'III Trimestre'!E17+'IV Trimestre'!E17</f>
        <v>176531760</v>
      </c>
      <c r="F17" s="1">
        <f>'I Trimestre'!F17+'II Trimestre'!F17+'III Trimestre'!F17+'IV Trimestre'!F17</f>
        <v>275806068</v>
      </c>
    </row>
    <row r="18" spans="1:8" x14ac:dyDescent="0.25">
      <c r="A18" s="16" t="s">
        <v>101</v>
      </c>
      <c r="B18" s="1">
        <f>SUM(D18:F18)</f>
        <v>461413353.01999998</v>
      </c>
      <c r="C18" s="1">
        <f>B18/12</f>
        <v>38451112.751666665</v>
      </c>
      <c r="D18" s="1">
        <f>'I Trimestre'!D18+'II Trimestre'!D18+'III Trimestre'!D18+'IV Trimestre'!D18</f>
        <v>104767360.25999999</v>
      </c>
      <c r="E18" s="1">
        <f>'I Trimestre'!E18+'II Trimestre'!E18+'III Trimestre'!E18+'IV Trimestre'!E18</f>
        <v>170131192.63999999</v>
      </c>
      <c r="F18" s="1">
        <f>'I Trimestre'!F18+'II Trimestre'!F18+'III Trimestre'!F18+'IV Trimestre'!F18</f>
        <v>186514800.12</v>
      </c>
    </row>
    <row r="19" spans="1:8" x14ac:dyDescent="0.25">
      <c r="A19" s="16" t="s">
        <v>11</v>
      </c>
      <c r="B19" s="1">
        <f>SUM(D19:F19)</f>
        <v>561337828</v>
      </c>
      <c r="C19" s="1">
        <f>B19/12</f>
        <v>46778152.333333336</v>
      </c>
      <c r="D19" s="1">
        <v>109000000</v>
      </c>
      <c r="E19" s="1">
        <v>176531760</v>
      </c>
      <c r="F19" s="1">
        <v>275806068</v>
      </c>
    </row>
    <row r="20" spans="1:8" x14ac:dyDescent="0.25">
      <c r="A20" s="16" t="s">
        <v>102</v>
      </c>
    </row>
    <row r="22" spans="1:8" x14ac:dyDescent="0.25">
      <c r="A22" s="17" t="s">
        <v>14</v>
      </c>
    </row>
    <row r="23" spans="1:8" x14ac:dyDescent="0.25">
      <c r="A23" s="16" t="s">
        <v>100</v>
      </c>
      <c r="B23" s="1">
        <f>B17</f>
        <v>561337828</v>
      </c>
      <c r="H23" s="18"/>
    </row>
    <row r="24" spans="1:8" x14ac:dyDescent="0.25">
      <c r="A24" s="16" t="s">
        <v>101</v>
      </c>
      <c r="B24" s="1">
        <f>'I Trimestre'!B24+'II Trimestre'!B24+'III Trimestre'!B24+'IV Trimestre'!B24</f>
        <v>489675011.38</v>
      </c>
      <c r="H24" s="18"/>
    </row>
    <row r="26" spans="1:8" x14ac:dyDescent="0.25">
      <c r="A26" s="1" t="s">
        <v>15</v>
      </c>
    </row>
    <row r="27" spans="1:8" x14ac:dyDescent="0.25">
      <c r="A27" s="1" t="s">
        <v>103</v>
      </c>
      <c r="B27" s="21">
        <v>1.4000346908083336</v>
      </c>
      <c r="C27" s="21">
        <v>1.4000346908083336</v>
      </c>
      <c r="D27" s="21">
        <v>1.4000346908083336</v>
      </c>
      <c r="E27" s="21">
        <v>1.4000346908083336</v>
      </c>
      <c r="F27" s="21">
        <v>1.4000346908083336</v>
      </c>
    </row>
    <row r="28" spans="1:8" x14ac:dyDescent="0.25">
      <c r="A28" s="1" t="s">
        <v>104</v>
      </c>
      <c r="B28" s="21">
        <v>1.4683304717083334</v>
      </c>
      <c r="C28" s="21">
        <v>1.4683304717083334</v>
      </c>
      <c r="D28" s="21">
        <v>1.4683304717083334</v>
      </c>
      <c r="E28" s="21">
        <v>1.4683304717083334</v>
      </c>
      <c r="F28" s="21">
        <v>1.4683304717083334</v>
      </c>
    </row>
    <row r="29" spans="1:8" x14ac:dyDescent="0.25">
      <c r="A29" s="1" t="s">
        <v>18</v>
      </c>
    </row>
    <row r="31" spans="1:8" x14ac:dyDescent="0.25">
      <c r="A31" s="1" t="s">
        <v>19</v>
      </c>
    </row>
    <row r="32" spans="1:8" x14ac:dyDescent="0.25">
      <c r="A32" s="1" t="s">
        <v>105</v>
      </c>
      <c r="B32" s="1">
        <f>B16/B27</f>
        <v>98239785.451737538</v>
      </c>
      <c r="C32" s="1">
        <f>C16/C27</f>
        <v>8186648.7876447951</v>
      </c>
    </row>
    <row r="33" spans="1:6" x14ac:dyDescent="0.25">
      <c r="A33" s="1" t="s">
        <v>106</v>
      </c>
      <c r="B33" s="1">
        <f>B18/B28</f>
        <v>314243531.62348205</v>
      </c>
      <c r="C33" s="1">
        <f>C18/C28</f>
        <v>26186960.968623504</v>
      </c>
      <c r="D33" s="1">
        <f>D18/D28</f>
        <v>71351349.221887425</v>
      </c>
      <c r="E33" s="1">
        <f>E18/E28</f>
        <v>115867099.3472337</v>
      </c>
      <c r="F33" s="1">
        <f t="shared" ref="F33" si="0">F18/F28</f>
        <v>127025083.05436093</v>
      </c>
    </row>
    <row r="34" spans="1:6" x14ac:dyDescent="0.25">
      <c r="A34" s="1" t="s">
        <v>107</v>
      </c>
      <c r="B34" s="1">
        <f>B32/B10</f>
        <v>306999.32953667978</v>
      </c>
      <c r="C34" s="1">
        <f>B32/C10</f>
        <v>306999.32953667978</v>
      </c>
    </row>
    <row r="35" spans="1:6" x14ac:dyDescent="0.25">
      <c r="A35" s="1" t="s">
        <v>108</v>
      </c>
      <c r="B35" s="1">
        <f>B33/B12</f>
        <v>775909.95462588163</v>
      </c>
      <c r="C35" s="1">
        <f>B33/C12</f>
        <v>996280.68150113197</v>
      </c>
    </row>
    <row r="37" spans="1:6" x14ac:dyDescent="0.25">
      <c r="A37" s="15" t="s">
        <v>24</v>
      </c>
    </row>
    <row r="39" spans="1:6" x14ac:dyDescent="0.25">
      <c r="A39" s="1" t="s">
        <v>25</v>
      </c>
    </row>
    <row r="40" spans="1:6" x14ac:dyDescent="0.25">
      <c r="A40" s="1" t="s">
        <v>26</v>
      </c>
      <c r="B40" s="1" t="s">
        <v>130</v>
      </c>
      <c r="C40" s="1" t="s">
        <v>130</v>
      </c>
    </row>
    <row r="41" spans="1:6" x14ac:dyDescent="0.25">
      <c r="A41" s="1" t="s">
        <v>27</v>
      </c>
      <c r="B41" s="1" t="s">
        <v>130</v>
      </c>
      <c r="C41" s="1" t="s">
        <v>130</v>
      </c>
    </row>
    <row r="43" spans="1:6" x14ac:dyDescent="0.25">
      <c r="A43" s="1" t="s">
        <v>28</v>
      </c>
    </row>
    <row r="44" spans="1:6" x14ac:dyDescent="0.25">
      <c r="A44" s="1" t="s">
        <v>29</v>
      </c>
      <c r="B44" s="21">
        <f>B12/B11*100</f>
        <v>101.25</v>
      </c>
      <c r="C44" s="21">
        <f>C12/C11*100</f>
        <v>86.022727272727266</v>
      </c>
      <c r="D44" s="21"/>
      <c r="E44" s="21"/>
      <c r="F44" s="21"/>
    </row>
    <row r="45" spans="1:6" x14ac:dyDescent="0.25">
      <c r="A45" s="1" t="s">
        <v>30</v>
      </c>
      <c r="B45" s="21">
        <f>B18/B17*100</f>
        <v>82.19887027104113</v>
      </c>
      <c r="C45" s="21">
        <f>C18/C17*100</f>
        <v>82.19887027104113</v>
      </c>
      <c r="D45" s="21">
        <f>D18/D17*100</f>
        <v>96.116844275229354</v>
      </c>
      <c r="E45" s="21">
        <f t="shared" ref="E45" si="1">E18/E17*100</f>
        <v>96.374268652847505</v>
      </c>
      <c r="F45" s="21">
        <f>F18/F17*100</f>
        <v>67.625343224863357</v>
      </c>
    </row>
    <row r="46" spans="1:6" x14ac:dyDescent="0.25">
      <c r="A46" s="1" t="s">
        <v>31</v>
      </c>
      <c r="B46" s="21">
        <f>AVERAGE(B44:B45)</f>
        <v>91.724435135520565</v>
      </c>
      <c r="C46" s="21">
        <f>AVERAGE(C44:C45)</f>
        <v>84.110798771884191</v>
      </c>
      <c r="D46" s="21"/>
      <c r="E46" s="21"/>
      <c r="F46" s="21"/>
    </row>
    <row r="47" spans="1:6" x14ac:dyDescent="0.25">
      <c r="B47" s="21"/>
      <c r="C47" s="21"/>
      <c r="D47" s="21"/>
      <c r="E47" s="21"/>
      <c r="F47" s="21"/>
    </row>
    <row r="48" spans="1:6" x14ac:dyDescent="0.25">
      <c r="A48" s="1" t="s">
        <v>32</v>
      </c>
      <c r="B48" s="21"/>
      <c r="C48" s="21"/>
      <c r="D48" s="21"/>
      <c r="E48" s="21"/>
      <c r="F48" s="21"/>
    </row>
    <row r="49" spans="1:6" x14ac:dyDescent="0.25">
      <c r="A49" s="1" t="s">
        <v>33</v>
      </c>
      <c r="B49" s="21">
        <f>B12/B13*100</f>
        <v>101.25</v>
      </c>
      <c r="C49" s="21">
        <f>C12/C13*100</f>
        <v>86.022727272727266</v>
      </c>
      <c r="D49" s="21"/>
      <c r="E49" s="21"/>
      <c r="F49" s="21"/>
    </row>
    <row r="50" spans="1:6" x14ac:dyDescent="0.25">
      <c r="A50" s="1" t="s">
        <v>34</v>
      </c>
      <c r="B50" s="21">
        <f>B18/B19*100</f>
        <v>82.19887027104113</v>
      </c>
      <c r="C50" s="21">
        <f>C18/C19*100</f>
        <v>82.19887027104113</v>
      </c>
      <c r="D50" s="21">
        <f>D18/D19*100</f>
        <v>96.116844275229354</v>
      </c>
      <c r="E50" s="21">
        <f t="shared" ref="E50:F50" si="2">E18/E19*100</f>
        <v>96.374268652847505</v>
      </c>
      <c r="F50" s="21">
        <f t="shared" si="2"/>
        <v>67.625343224863357</v>
      </c>
    </row>
    <row r="51" spans="1:6" x14ac:dyDescent="0.25">
      <c r="A51" s="1" t="s">
        <v>35</v>
      </c>
      <c r="B51" s="21">
        <f>(B49+B50)/2</f>
        <v>91.724435135520565</v>
      </c>
      <c r="C51" s="21">
        <f>(C49+C50)/2</f>
        <v>84.110798771884191</v>
      </c>
      <c r="D51" s="21"/>
      <c r="E51" s="21"/>
      <c r="F51" s="21"/>
    </row>
    <row r="52" spans="1:6" x14ac:dyDescent="0.25">
      <c r="B52" s="21"/>
      <c r="C52" s="21"/>
      <c r="D52" s="21"/>
      <c r="E52" s="21"/>
      <c r="F52" s="21"/>
    </row>
    <row r="53" spans="1:6" x14ac:dyDescent="0.25">
      <c r="A53" s="1" t="s">
        <v>109</v>
      </c>
      <c r="B53" s="21"/>
      <c r="C53" s="21"/>
      <c r="D53" s="21"/>
      <c r="E53" s="21"/>
      <c r="F53" s="21"/>
    </row>
    <row r="54" spans="1:6" x14ac:dyDescent="0.25">
      <c r="A54" s="1" t="s">
        <v>36</v>
      </c>
      <c r="B54" s="21">
        <f>B20/B18*100</f>
        <v>0</v>
      </c>
      <c r="C54" s="21">
        <f>C20/C18*100</f>
        <v>0</v>
      </c>
      <c r="D54" s="21">
        <f t="shared" ref="D54:F54" si="3">D20/D18*100</f>
        <v>0</v>
      </c>
      <c r="E54" s="21">
        <f t="shared" si="3"/>
        <v>0</v>
      </c>
      <c r="F54" s="21">
        <f t="shared" si="3"/>
        <v>0</v>
      </c>
    </row>
    <row r="55" spans="1:6" x14ac:dyDescent="0.25">
      <c r="B55" s="21"/>
      <c r="C55" s="21"/>
      <c r="D55" s="21"/>
      <c r="E55" s="21"/>
      <c r="F55" s="21"/>
    </row>
    <row r="56" spans="1:6" x14ac:dyDescent="0.25">
      <c r="A56" s="1" t="s">
        <v>37</v>
      </c>
      <c r="B56" s="21"/>
      <c r="C56" s="21"/>
      <c r="D56" s="21"/>
      <c r="E56" s="21"/>
      <c r="F56" s="21"/>
    </row>
    <row r="57" spans="1:6" x14ac:dyDescent="0.25">
      <c r="A57" s="1" t="s">
        <v>38</v>
      </c>
      <c r="B57" s="21">
        <f>((B12/B10)-1)*100</f>
        <v>26.5625</v>
      </c>
      <c r="C57" s="21">
        <f>((C12/C10)-1)*100</f>
        <v>-1.432291666666663</v>
      </c>
      <c r="D57" s="21"/>
      <c r="E57" s="21"/>
      <c r="F57" s="21"/>
    </row>
    <row r="58" spans="1:6" x14ac:dyDescent="0.25">
      <c r="A58" s="1" t="s">
        <v>39</v>
      </c>
      <c r="B58" s="21">
        <f>((B33/B32)-1)*100</f>
        <v>219.87400031310239</v>
      </c>
      <c r="C58" s="21">
        <f>((C33/C32)-1)*100</f>
        <v>219.87400031310239</v>
      </c>
      <c r="D58" s="21"/>
      <c r="E58" s="21"/>
      <c r="F58" s="21"/>
    </row>
    <row r="59" spans="1:6" x14ac:dyDescent="0.25">
      <c r="A59" s="1" t="s">
        <v>40</v>
      </c>
      <c r="B59" s="21">
        <f>((B35/B34)-1)*100</f>
        <v>152.73995086467355</v>
      </c>
      <c r="C59" s="21">
        <f>((C35/C34)-1)*100</f>
        <v>224.52210335596124</v>
      </c>
      <c r="D59" s="21"/>
      <c r="E59" s="21"/>
      <c r="F59" s="21"/>
    </row>
    <row r="61" spans="1:6" x14ac:dyDescent="0.25">
      <c r="A61" s="1" t="s">
        <v>41</v>
      </c>
    </row>
    <row r="62" spans="1:6" x14ac:dyDescent="0.25">
      <c r="A62" s="1" t="s">
        <v>111</v>
      </c>
      <c r="B62" s="1">
        <f>B17/(C11*12)</f>
        <v>127576.7790909091</v>
      </c>
    </row>
    <row r="63" spans="1:6" x14ac:dyDescent="0.25">
      <c r="A63" s="1" t="s">
        <v>112</v>
      </c>
      <c r="B63" s="1">
        <f>B18/(C12*12)</f>
        <v>121905.77358520475</v>
      </c>
    </row>
    <row r="64" spans="1:6" x14ac:dyDescent="0.25">
      <c r="A64" s="1" t="s">
        <v>42</v>
      </c>
      <c r="B64" s="21">
        <f>(B62/B63)*B46</f>
        <v>95.991417423259321</v>
      </c>
    </row>
    <row r="65" spans="1:8" x14ac:dyDescent="0.25">
      <c r="A65" s="1" t="s">
        <v>117</v>
      </c>
      <c r="B65" s="1">
        <f>B17/C11</f>
        <v>1530921.3490909091</v>
      </c>
    </row>
    <row r="66" spans="1:8" x14ac:dyDescent="0.25">
      <c r="A66" s="1" t="s">
        <v>118</v>
      </c>
      <c r="B66" s="1">
        <f>B18/C12</f>
        <v>1462869.283022457</v>
      </c>
    </row>
    <row r="68" spans="1:8" x14ac:dyDescent="0.25">
      <c r="A68" s="1" t="s">
        <v>43</v>
      </c>
    </row>
    <row r="69" spans="1:8" x14ac:dyDescent="0.25">
      <c r="A69" s="1" t="s">
        <v>44</v>
      </c>
      <c r="B69" s="21">
        <f>(B24/B23)*100</f>
        <v>87.233567195118738</v>
      </c>
      <c r="H69" s="18"/>
    </row>
    <row r="70" spans="1:8" x14ac:dyDescent="0.25">
      <c r="A70" s="1" t="s">
        <v>45</v>
      </c>
      <c r="B70" s="21">
        <f>(B18/B24)*100</f>
        <v>94.22848670991948</v>
      </c>
      <c r="H70" s="18"/>
    </row>
    <row r="71" spans="1:8" ht="15.75" thickBot="1" x14ac:dyDescent="0.3">
      <c r="A71" s="19"/>
      <c r="B71" s="19"/>
      <c r="C71" s="19"/>
      <c r="D71" s="19"/>
      <c r="E71" s="19"/>
      <c r="F71" s="19"/>
    </row>
    <row r="72" spans="1:8" ht="15.75" thickTop="1" x14ac:dyDescent="0.25"/>
    <row r="73" spans="1:8" x14ac:dyDescent="0.25">
      <c r="A73" s="20" t="s">
        <v>46</v>
      </c>
    </row>
    <row r="74" spans="1:8" x14ac:dyDescent="0.25">
      <c r="A74" s="20" t="s">
        <v>110</v>
      </c>
    </row>
    <row r="75" spans="1:8" x14ac:dyDescent="0.25">
      <c r="A75" s="20" t="s">
        <v>47</v>
      </c>
    </row>
    <row r="76" spans="1:8" x14ac:dyDescent="0.25">
      <c r="A76" s="11" t="s">
        <v>119</v>
      </c>
    </row>
    <row r="77" spans="1:8" x14ac:dyDescent="0.25">
      <c r="A77" s="3" t="s">
        <v>120</v>
      </c>
    </row>
    <row r="78" spans="1:8" x14ac:dyDescent="0.25">
      <c r="A78" s="12" t="s">
        <v>121</v>
      </c>
    </row>
    <row r="79" spans="1:8" x14ac:dyDescent="0.25">
      <c r="A79" s="12" t="s">
        <v>122</v>
      </c>
    </row>
    <row r="80" spans="1:8" x14ac:dyDescent="0.25">
      <c r="A80" s="12" t="s">
        <v>123</v>
      </c>
    </row>
  </sheetData>
  <mergeCells count="5">
    <mergeCell ref="A2:F2"/>
    <mergeCell ref="A4:A5"/>
    <mergeCell ref="B4:B5"/>
    <mergeCell ref="C4:C5"/>
    <mergeCell ref="D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 2011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2012-03-15T15:44:58Z</dcterms:created>
  <dcterms:modified xsi:type="dcterms:W3CDTF">2013-10-29T20:14:24Z</dcterms:modified>
</cp:coreProperties>
</file>